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scal/Documents/Labo/Analyses/Projet_B5/Manuscript/Immunity 2022/"/>
    </mc:Choice>
  </mc:AlternateContent>
  <xr:revisionPtr revIDLastSave="0" documentId="13_ncr:1_{7CA22379-5C5D-9549-A176-0117F8BC4DC4}" xr6:coauthVersionLast="47" xr6:coauthVersionMax="47" xr10:uidLastSave="{00000000-0000-0000-0000-000000000000}"/>
  <bookViews>
    <workbookView xWindow="8980" yWindow="500" windowWidth="26220" windowHeight="19380" tabRatio="500" activeTab="2" xr2:uid="{00000000-000D-0000-FFFF-FFFF00000000}"/>
  </bookViews>
  <sheets>
    <sheet name="INDEX" sheetId="3" r:id="rId1"/>
    <sheet name="A-Donors" sheetId="1" r:id="rId2"/>
    <sheet name="B-B cell pop frequenci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91" i="1" l="1"/>
  <c r="V91" i="1"/>
  <c r="U91" i="1"/>
  <c r="T91" i="1"/>
  <c r="S91" i="1"/>
  <c r="K91" i="1"/>
  <c r="D86" i="1"/>
  <c r="D85" i="1"/>
  <c r="D84" i="1"/>
  <c r="D38" i="1"/>
  <c r="D39" i="1"/>
  <c r="D42" i="1"/>
  <c r="D46" i="1"/>
  <c r="D43" i="1"/>
  <c r="D37" i="1"/>
  <c r="D36" i="1"/>
  <c r="D29" i="1"/>
  <c r="D26" i="1"/>
  <c r="D47" i="1"/>
  <c r="D5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30" i="1"/>
  <c r="D31" i="1"/>
  <c r="D32" i="1"/>
  <c r="D33" i="1"/>
  <c r="D34" i="1"/>
  <c r="D35" i="1"/>
  <c r="D40" i="1"/>
  <c r="D41" i="1"/>
  <c r="D44" i="1"/>
  <c r="D45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7" i="1"/>
  <c r="D88" i="1"/>
  <c r="D89" i="1"/>
  <c r="E93" i="1"/>
  <c r="E92" i="1"/>
  <c r="M91" i="1"/>
  <c r="Y91" i="1"/>
  <c r="X91" i="1"/>
  <c r="R91" i="1"/>
  <c r="Q91" i="1"/>
  <c r="P91" i="1"/>
  <c r="O91" i="1"/>
  <c r="N91" i="1"/>
  <c r="L91" i="1"/>
  <c r="J91" i="1"/>
  <c r="I91" i="1"/>
  <c r="H91" i="1"/>
  <c r="A91" i="1"/>
</calcChain>
</file>

<file path=xl/sharedStrings.xml><?xml version="1.0" encoding="utf-8"?>
<sst xmlns="http://schemas.openxmlformats.org/spreadsheetml/2006/main" count="721" uniqueCount="169">
  <si>
    <t>Yes</t>
  </si>
  <si>
    <t>Donor_id</t>
  </si>
  <si>
    <t>Age</t>
  </si>
  <si>
    <t>Sex</t>
  </si>
  <si>
    <t>&lt;0.001</t>
  </si>
  <si>
    <t>Male</t>
  </si>
  <si>
    <t>NA</t>
  </si>
  <si>
    <t>Female</t>
  </si>
  <si>
    <t>HD1</t>
  </si>
  <si>
    <t>HD2</t>
  </si>
  <si>
    <t>HD3</t>
  </si>
  <si>
    <t>YD1</t>
  </si>
  <si>
    <t>YD4</t>
  </si>
  <si>
    <t>YD2</t>
  </si>
  <si>
    <t>YD3</t>
  </si>
  <si>
    <t>HD4</t>
  </si>
  <si>
    <t>HD5</t>
  </si>
  <si>
    <t>HD6</t>
  </si>
  <si>
    <t>HD7</t>
  </si>
  <si>
    <t>HD8</t>
  </si>
  <si>
    <t>HD9</t>
  </si>
  <si>
    <t>HD10</t>
  </si>
  <si>
    <t>HD11</t>
  </si>
  <si>
    <t>HD12</t>
  </si>
  <si>
    <t>HD13</t>
  </si>
  <si>
    <t>HD14</t>
  </si>
  <si>
    <t>HD15</t>
  </si>
  <si>
    <t>HD16</t>
  </si>
  <si>
    <t>HD17</t>
  </si>
  <si>
    <t>HD18</t>
  </si>
  <si>
    <t>HD19</t>
  </si>
  <si>
    <t>HD20</t>
  </si>
  <si>
    <t>HD21</t>
  </si>
  <si>
    <t>HD22</t>
  </si>
  <si>
    <t>HD23</t>
  </si>
  <si>
    <t>HD24</t>
  </si>
  <si>
    <t>HD25</t>
  </si>
  <si>
    <t>HD26</t>
  </si>
  <si>
    <t>HD27</t>
  </si>
  <si>
    <t>HD28</t>
  </si>
  <si>
    <t>HD29</t>
  </si>
  <si>
    <t>HD30</t>
  </si>
  <si>
    <t>HD31</t>
  </si>
  <si>
    <t>HD32</t>
  </si>
  <si>
    <t>HD33</t>
  </si>
  <si>
    <t>HD34</t>
  </si>
  <si>
    <t>HD35</t>
  </si>
  <si>
    <t>HD36</t>
  </si>
  <si>
    <t>HD37</t>
  </si>
  <si>
    <t>HD38</t>
  </si>
  <si>
    <t>HD39</t>
  </si>
  <si>
    <t>HD40</t>
  </si>
  <si>
    <t>HD41</t>
  </si>
  <si>
    <t>HD42</t>
  </si>
  <si>
    <t>HD43</t>
  </si>
  <si>
    <t>HD44</t>
  </si>
  <si>
    <t>HD45</t>
  </si>
  <si>
    <t>HD46</t>
  </si>
  <si>
    <t>HD47</t>
  </si>
  <si>
    <t>HD48</t>
  </si>
  <si>
    <t>HD49</t>
  </si>
  <si>
    <t>HD50</t>
  </si>
  <si>
    <t>HD51</t>
  </si>
  <si>
    <t>HD52</t>
  </si>
  <si>
    <t>HD53</t>
  </si>
  <si>
    <t>HD54</t>
  </si>
  <si>
    <t>HD55</t>
  </si>
  <si>
    <t>HD56</t>
  </si>
  <si>
    <t>HD57</t>
  </si>
  <si>
    <t>HD58</t>
  </si>
  <si>
    <t>HD59</t>
  </si>
  <si>
    <t>HD60</t>
  </si>
  <si>
    <t>HD61</t>
  </si>
  <si>
    <t>HD62</t>
  </si>
  <si>
    <t>HD63</t>
  </si>
  <si>
    <t>HD64</t>
  </si>
  <si>
    <t>HD65</t>
  </si>
  <si>
    <t>HD66</t>
  </si>
  <si>
    <t>HD67</t>
  </si>
  <si>
    <t>HD68</t>
  </si>
  <si>
    <t>HD69</t>
  </si>
  <si>
    <t>Panel_B (Spleen)</t>
  </si>
  <si>
    <t>Panel_B (PBMCs)</t>
  </si>
  <si>
    <t>HD70</t>
  </si>
  <si>
    <t>Collection year</t>
  </si>
  <si>
    <t>HD71</t>
  </si>
  <si>
    <t>HD72</t>
  </si>
  <si>
    <t>HD73</t>
  </si>
  <si>
    <t>HD74</t>
  </si>
  <si>
    <t>HD75</t>
  </si>
  <si>
    <t>HD76</t>
  </si>
  <si>
    <t>HD77</t>
  </si>
  <si>
    <t>HD78</t>
  </si>
  <si>
    <t>HD79</t>
  </si>
  <si>
    <t>HD80</t>
  </si>
  <si>
    <t>HD81</t>
  </si>
  <si>
    <t>HD82</t>
  </si>
  <si>
    <t xml:space="preserve">A - Overview of organ donors and inclusion in analysis </t>
  </si>
  <si>
    <t>HD83</t>
  </si>
  <si>
    <t>predicted year of birth</t>
  </si>
  <si>
    <t>B - Main B cell population frequencies in spleen of organ donors, related to Figure S1 and S3</t>
  </si>
  <si>
    <t>Organ</t>
  </si>
  <si>
    <t>Group</t>
  </si>
  <si>
    <t>B cells (% of lymphocytes)</t>
  </si>
  <si>
    <t>GC (% of B cells)</t>
  </si>
  <si>
    <t>Transi (% of B cells)</t>
  </si>
  <si>
    <t>Naives (% of B cells)</t>
  </si>
  <si>
    <t>MZB (% of B cells)</t>
  </si>
  <si>
    <t>Switched IgG+ memory (% of B cells)</t>
  </si>
  <si>
    <t>CD21hi CD20hi (% of IgG+)</t>
  </si>
  <si>
    <t>CD21int CD20int (% of IgG+)</t>
  </si>
  <si>
    <t>CD21low CD20hi (% of IgG+)</t>
  </si>
  <si>
    <t>CD83+ (% of IgG+)</t>
  </si>
  <si>
    <t>CD45RB- CD73- (% of IgG+)</t>
  </si>
  <si>
    <t>CD45RB+ CD73- (% of IgG+)</t>
  </si>
  <si>
    <t>CD45RB+ CD73+ (% of IgG+)</t>
  </si>
  <si>
    <t>CD45RB- CD73+ (% of IgG+)</t>
  </si>
  <si>
    <t>Spleen</t>
  </si>
  <si>
    <t>HD</t>
  </si>
  <si>
    <t>YD</t>
  </si>
  <si>
    <t>PBMCs</t>
  </si>
  <si>
    <t>PC (% of live CD3-CD14-CD16-)</t>
  </si>
  <si>
    <t>Naives (CD21 MFI)</t>
  </si>
  <si>
    <t>Cause of death / splenectomy</t>
  </si>
  <si>
    <t>cerebrovascular accident</t>
  </si>
  <si>
    <t>acidental defenestration</t>
  </si>
  <si>
    <t>head trauma</t>
  </si>
  <si>
    <t>cardiopulmonary arrest</t>
  </si>
  <si>
    <t>road accident</t>
  </si>
  <si>
    <t>cardiac arrest</t>
  </si>
  <si>
    <t>cerebral hemorrhage</t>
  </si>
  <si>
    <t>meningeal hemorrhage</t>
  </si>
  <si>
    <t>subdural hematoma</t>
  </si>
  <si>
    <t>hypoglycemic coma</t>
  </si>
  <si>
    <t>sickle cell disease</t>
  </si>
  <si>
    <t>brain death status</t>
  </si>
  <si>
    <t>N/A</t>
  </si>
  <si>
    <t>Yes (*)</t>
  </si>
  <si>
    <t>(*) Cricks, Chappert et al Science Translational Medecine 2021</t>
  </si>
  <si>
    <t>Seahorse</t>
  </si>
  <si>
    <t>Telomere (related to Figure 7)</t>
  </si>
  <si>
    <t>B cell populations</t>
  </si>
  <si>
    <t>HT Sequencing (related to Figures 3, 4, S3, S4 and S5)</t>
  </si>
  <si>
    <t>Immune phenotyping (related to Figure S1F-H, 3 and S3)</t>
  </si>
  <si>
    <t>Fluxomic analysis</t>
  </si>
  <si>
    <t>Metabolism (related to Figure 6 and S7)</t>
  </si>
  <si>
    <t>FACS staining: CD21hi/CD21int pop2</t>
  </si>
  <si>
    <t>2-NBDG/MitoID/TMRE/NileRed</t>
  </si>
  <si>
    <t>2-NBDG</t>
  </si>
  <si>
    <t>MitoID/TMRE</t>
  </si>
  <si>
    <t>2-NBDG/MitoID/TMRE</t>
  </si>
  <si>
    <t>NileRed</t>
  </si>
  <si>
    <t>RNA-seq validation (related to Figure 5 and S6)</t>
  </si>
  <si>
    <t>Repertoire analysis (related to Figures 2, 3 and S2, S3)</t>
  </si>
  <si>
    <t>FACS_RNA-seq DEG_CD21hi/CD21int</t>
  </si>
  <si>
    <t>scRNA-seq (Total memB)</t>
  </si>
  <si>
    <t>scRNA-seq (Naive)</t>
  </si>
  <si>
    <t>scRNA-seq (B5R+ memB)</t>
  </si>
  <si>
    <t>bulk RNA-seq</t>
  </si>
  <si>
    <t>bulk ATAC-seq</t>
  </si>
  <si>
    <t>Table S1. Human donors information, experimental inclusion and splenic B cell profiling, related to all Figures and supplementary Figures.</t>
  </si>
  <si>
    <t>A - Overview of organ donors and experimental inclusions, related to all Figures and supplementary Figures.</t>
  </si>
  <si>
    <t>B5+_sort (IgM)</t>
  </si>
  <si>
    <t>B5+_frequency (% of IgG+ switched memory B cells - corrected)</t>
  </si>
  <si>
    <t>B5+_sort + culture (IgG)</t>
  </si>
  <si>
    <t>B5+_sort (IgA)</t>
  </si>
  <si>
    <t>VDJ_B5+</t>
  </si>
  <si>
    <t>B5+ IgG+</t>
  </si>
  <si>
    <t>FACS staining: B5+ IgG+ (related to Figure S7L-M)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</si>
</sst>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3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Normal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numFmt numFmtId="2" formatCode="0.00"/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numFmt numFmtId="0" formatCode="General"/>
      <alignment horizontal="center" vertical="center" textRotation="0" indent="0" justifyLastLine="0" shrinkToFit="0"/>
    </dxf>
    <dxf>
      <alignment horizontal="center" vertical="center" textRotation="0" indent="0" justifyLastLine="0" shrinkToFit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color theme="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Y91" totalsRowCount="1" headerRowDxfId="75" dataDxfId="74" totalsRowDxfId="73">
  <autoFilter ref="A3:Y90" xr:uid="{00000000-0009-0000-0100-000001000000}"/>
  <sortState xmlns:xlrd2="http://schemas.microsoft.com/office/spreadsheetml/2017/richdata2" ref="A2:Z74">
    <sortCondition ref="A1:A74"/>
  </sortState>
  <tableColumns count="25">
    <tableColumn id="2" xr3:uid="{00000000-0010-0000-0000-000002000000}" name="Donor_id" totalsRowFunction="custom" dataDxfId="72" totalsRowDxfId="24">
      <totalsRowFormula>ROWS(Table1[Donor_id])</totalsRowFormula>
    </tableColumn>
    <tableColumn id="28" xr3:uid="{00000000-0010-0000-0000-00001C000000}" name="Collection year" dataDxfId="71" totalsRowDxfId="23"/>
    <tableColumn id="3" xr3:uid="{00000000-0010-0000-0000-000003000000}" name="Age" dataDxfId="70" totalsRowDxfId="22"/>
    <tableColumn id="29" xr3:uid="{00000000-0010-0000-0000-00001D000000}" name="predicted year of birth" dataDxfId="69" totalsRowDxfId="21">
      <calculatedColumnFormula>Table1[[#This Row],[Collection year]]-C4</calculatedColumnFormula>
    </tableColumn>
    <tableColumn id="4" xr3:uid="{00000000-0010-0000-0000-000004000000}" name="Sex" dataDxfId="68" totalsRowDxfId="20"/>
    <tableColumn id="30" xr3:uid="{00000000-0010-0000-0000-00001E000000}" name="Cause of death / splenectomy" dataDxfId="67" totalsRowDxfId="19"/>
    <tableColumn id="5" xr3:uid="{00000000-0010-0000-0000-000005000000}" name="B5+_sort + culture (IgG)" dataDxfId="66" totalsRowDxfId="18"/>
    <tableColumn id="6" xr3:uid="{00000000-0010-0000-0000-000006000000}" name="B5+_frequency (% of IgG+ switched memory B cells - corrected)" totalsRowFunction="custom" dataDxfId="65" totalsRowDxfId="17">
      <totalsRowFormula>COUNTA(Table1[B5+_frequency (% of IgG+ switched memory B cells - corrected)])</totalsRowFormula>
    </tableColumn>
    <tableColumn id="7" xr3:uid="{00000000-0010-0000-0000-000007000000}" name="B5+_sort (IgM)" totalsRowFunction="custom" dataDxfId="64" totalsRowDxfId="16">
      <totalsRowFormula>COUNTA(Table1[B5+_sort (IgM)])</totalsRowFormula>
    </tableColumn>
    <tableColumn id="8" xr3:uid="{00000000-0010-0000-0000-000008000000}" name="B5+_sort (IgA)" totalsRowFunction="custom" dataDxfId="63" totalsRowDxfId="15">
      <totalsRowFormula>COUNTA(Table1[B5+_sort (IgA)])</totalsRowFormula>
    </tableColumn>
    <tableColumn id="1" xr3:uid="{00000000-0010-0000-0000-000001000000}" name="VDJ_B5+" totalsRowFunction="custom" dataDxfId="62" totalsRowDxfId="14">
      <totalsRowFormula>COUNTA(Table1[VDJ_B5+])</totalsRowFormula>
    </tableColumn>
    <tableColumn id="9" xr3:uid="{00000000-0010-0000-0000-000009000000}" name="Panel_B (Spleen)" totalsRowFunction="custom" dataDxfId="61" totalsRowDxfId="13">
      <totalsRowFormula>COUNTA(Table1[Panel_B (Spleen)])</totalsRowFormula>
    </tableColumn>
    <tableColumn id="27" xr3:uid="{00000000-0010-0000-0000-00001B000000}" name="Panel_B (PBMCs)" totalsRowFunction="custom" dataDxfId="60" totalsRowDxfId="12">
      <totalsRowFormula>COUNTA(Table1[Panel_B (PBMCs)])</totalsRowFormula>
    </tableColumn>
    <tableColumn id="10" xr3:uid="{00000000-0010-0000-0000-00000A000000}" name="scRNA-seq (Total memB)" totalsRowFunction="custom" dataDxfId="59" totalsRowDxfId="11">
      <totalsRowFormula>COUNTA(Table1[scRNA-seq (Total memB)])</totalsRowFormula>
    </tableColumn>
    <tableColumn id="11" xr3:uid="{00000000-0010-0000-0000-00000B000000}" name="scRNA-seq (Naive)" totalsRowFunction="custom" dataDxfId="58" totalsRowDxfId="10">
      <totalsRowFormula>COUNTA(Table1[scRNA-seq (Naive)])</totalsRowFormula>
    </tableColumn>
    <tableColumn id="12" xr3:uid="{00000000-0010-0000-0000-00000C000000}" name="scRNA-seq (B5R+ memB)" totalsRowFunction="custom" dataDxfId="57" totalsRowDxfId="9">
      <totalsRowFormula>COUNTA(Table1[scRNA-seq (B5R+ memB)])</totalsRowFormula>
    </tableColumn>
    <tableColumn id="13" xr3:uid="{00000000-0010-0000-0000-00000D000000}" name="bulk RNA-seq" totalsRowFunction="custom" dataDxfId="56" totalsRowDxfId="8">
      <totalsRowFormula>COUNTA(Table1[bulk RNA-seq])</totalsRowFormula>
    </tableColumn>
    <tableColumn id="14" xr3:uid="{00000000-0010-0000-0000-00000E000000}" name="bulk ATAC-seq" totalsRowFunction="custom" dataDxfId="55" totalsRowDxfId="7">
      <totalsRowFormula>COUNTA(Table1[bulk ATAC-seq])</totalsRowFormula>
    </tableColumn>
    <tableColumn id="20" xr3:uid="{00000000-0010-0000-0000-000014000000}" name="FACS_RNA-seq DEG_CD21hi/CD21int" totalsRowFunction="custom" dataDxfId="54" totalsRowDxfId="6">
      <totalsRowFormula>COUNTA(Table1[FACS_RNA-seq DEG_CD21hi/CD21int])</totalsRowFormula>
    </tableColumn>
    <tableColumn id="31" xr3:uid="{00000000-0010-0000-0000-00001F000000}" name="Seahorse" totalsRowFunction="custom" dataDxfId="53" totalsRowDxfId="5">
      <totalsRowFormula>COUNTA(Table1[Seahorse])</totalsRowFormula>
    </tableColumn>
    <tableColumn id="24" xr3:uid="{00000000-0010-0000-0000-000018000000}" name="Fluxomic analysis" totalsRowFunction="custom" dataDxfId="52" totalsRowDxfId="4">
      <totalsRowFormula>COUNTA(Table1[Fluxomic analysis])</totalsRowFormula>
    </tableColumn>
    <tableColumn id="23" xr3:uid="{00000000-0010-0000-0000-000017000000}" name="FACS staining: B5+ IgG+ (related to Figure S7L-M)" totalsRowFunction="custom" dataDxfId="51" totalsRowDxfId="3">
      <totalsRowFormula>COUNTA(Table1[FACS staining: B5+ IgG+ (related to Figure S7L-M)])</totalsRowFormula>
    </tableColumn>
    <tableColumn id="21" xr3:uid="{00000000-0010-0000-0000-000015000000}" name="FACS staining: CD21hi/CD21int pop2" totalsRowFunction="custom" dataDxfId="50" totalsRowDxfId="2">
      <totalsRowFormula>COUNTA(Table1[FACS staining: CD21hi/CD21int pop2])</totalsRowFormula>
    </tableColumn>
    <tableColumn id="15" xr3:uid="{00000000-0010-0000-0000-00000F000000}" name="B cell populations" totalsRowFunction="custom" dataDxfId="49" totalsRowDxfId="1">
      <totalsRowFormula>COUNTA(Table1[B cell populations])</totalsRowFormula>
    </tableColumn>
    <tableColumn id="16" xr3:uid="{00000000-0010-0000-0000-000010000000}" name="B5+ IgG+" totalsRowFunction="custom" dataDxfId="48" totalsRowDxfId="0">
      <totalsRowFormula>COUNTA(Table1[B5+ IgG+])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T52" totalsRowShown="0" headerRowDxfId="47" dataDxfId="45" headerRowBorderDxfId="46">
  <autoFilter ref="A3:T52" xr:uid="{00000000-0009-0000-0100-000002000000}"/>
  <tableColumns count="20">
    <tableColumn id="25" xr3:uid="{00000000-0010-0000-0100-000019000000}" name="Donor_id" dataDxfId="44"/>
    <tableColumn id="3" xr3:uid="{00000000-0010-0000-0100-000003000000}" name="Age" dataDxfId="43"/>
    <tableColumn id="6" xr3:uid="{00000000-0010-0000-0100-000006000000}" name="Organ" dataDxfId="42"/>
    <tableColumn id="7" xr3:uid="{00000000-0010-0000-0100-000007000000}" name="Group" dataDxfId="41"/>
    <tableColumn id="9" xr3:uid="{00000000-0010-0000-0100-000009000000}" name="PC (% of live CD3-CD14-CD16-)" dataDxfId="40"/>
    <tableColumn id="10" xr3:uid="{00000000-0010-0000-0100-00000A000000}" name="B cells (% of lymphocytes)" dataDxfId="39"/>
    <tableColumn id="11" xr3:uid="{00000000-0010-0000-0100-00000B000000}" name="GC (% of B cells)" dataDxfId="38"/>
    <tableColumn id="12" xr3:uid="{00000000-0010-0000-0100-00000C000000}" name="Transi (% of B cells)" dataDxfId="37"/>
    <tableColumn id="13" xr3:uid="{00000000-0010-0000-0100-00000D000000}" name="Naives (% of B cells)" dataDxfId="36"/>
    <tableColumn id="14" xr3:uid="{00000000-0010-0000-0100-00000E000000}" name="MZB (% of B cells)" dataDxfId="35"/>
    <tableColumn id="15" xr3:uid="{00000000-0010-0000-0100-00000F000000}" name="Switched IgG+ memory (% of B cells)" dataDxfId="34"/>
    <tableColumn id="16" xr3:uid="{00000000-0010-0000-0100-000010000000}" name="CD21hi CD20hi (% of IgG+)" dataDxfId="33"/>
    <tableColumn id="17" xr3:uid="{00000000-0010-0000-0100-000011000000}" name="CD21int CD20int (% of IgG+)" dataDxfId="32"/>
    <tableColumn id="18" xr3:uid="{00000000-0010-0000-0100-000012000000}" name="CD21low CD20hi (% of IgG+)" dataDxfId="31"/>
    <tableColumn id="20" xr3:uid="{00000000-0010-0000-0100-000014000000}" name="CD83+ (% of IgG+)" dataDxfId="30"/>
    <tableColumn id="21" xr3:uid="{00000000-0010-0000-0100-000015000000}" name="CD45RB- CD73- (% of IgG+)" dataDxfId="29"/>
    <tableColumn id="22" xr3:uid="{00000000-0010-0000-0100-000016000000}" name="CD45RB+ CD73- (% of IgG+)" dataDxfId="28"/>
    <tableColumn id="23" xr3:uid="{00000000-0010-0000-0100-000017000000}" name="CD45RB+ CD73+ (% of IgG+)" dataDxfId="27"/>
    <tableColumn id="24" xr3:uid="{00000000-0010-0000-0100-000018000000}" name="CD45RB- CD73+ (% of IgG+)" dataDxfId="26"/>
    <tableColumn id="26" xr3:uid="{00000000-0010-0000-0100-00001A000000}" name="Naives (CD21 MFI)" dataDxfId="25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baseColWidth="10" defaultRowHeight="16" x14ac:dyDescent="0.2"/>
  <cols>
    <col min="1" max="1" width="10.83203125" style="17"/>
  </cols>
  <sheetData>
    <row r="1" spans="1:1" x14ac:dyDescent="0.2">
      <c r="A1" s="18" t="s">
        <v>160</v>
      </c>
    </row>
    <row r="2" spans="1:1" x14ac:dyDescent="0.2">
      <c r="A2" s="18"/>
    </row>
    <row r="3" spans="1:1" x14ac:dyDescent="0.2">
      <c r="A3" s="18" t="s">
        <v>161</v>
      </c>
    </row>
    <row r="4" spans="1:1" x14ac:dyDescent="0.2">
      <c r="A4" s="18" t="s">
        <v>100</v>
      </c>
    </row>
    <row r="5" spans="1:1" x14ac:dyDescent="0.2">
      <c r="A5" s="18"/>
    </row>
    <row r="6" spans="1:1" x14ac:dyDescent="0.2">
      <c r="A6"/>
    </row>
    <row r="7" spans="1:1" x14ac:dyDescent="0.2">
      <c r="A7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6"/>
  <sheetViews>
    <sheetView workbookViewId="0">
      <pane xSplit="5" ySplit="3" topLeftCell="F4" activePane="bottomRight" state="frozen"/>
      <selection pane="topRight" activeCell="D1" sqref="D1"/>
      <selection pane="bottomLeft" activeCell="A2" sqref="A2"/>
      <selection pane="bottomRight" activeCell="V3" sqref="V3"/>
    </sheetView>
  </sheetViews>
  <sheetFormatPr baseColWidth="10" defaultColWidth="15.83203125" defaultRowHeight="14" x14ac:dyDescent="0.2"/>
  <cols>
    <col min="1" max="1" width="10.5" style="2" customWidth="1"/>
    <col min="2" max="2" width="10.83203125" style="2" customWidth="1"/>
    <col min="3" max="3" width="9.1640625" style="2" customWidth="1"/>
    <col min="4" max="4" width="11" style="2" customWidth="1"/>
    <col min="5" max="5" width="11.5" style="2" customWidth="1"/>
    <col min="6" max="6" width="24.1640625" style="2" customWidth="1"/>
    <col min="7" max="7" width="11.6640625" style="2" customWidth="1"/>
    <col min="8" max="8" width="15.83203125" style="2"/>
    <col min="9" max="9" width="10.6640625" style="2" customWidth="1"/>
    <col min="10" max="10" width="11.83203125" style="2" customWidth="1"/>
    <col min="11" max="11" width="13.1640625" style="92" customWidth="1"/>
    <col min="12" max="12" width="12.5" style="45" customWidth="1"/>
    <col min="13" max="13" width="10.83203125" style="62" customWidth="1"/>
    <col min="14" max="14" width="10.6640625" style="45" customWidth="1"/>
    <col min="15" max="15" width="10.5" style="46" customWidth="1"/>
    <col min="16" max="16" width="11.5" style="46" customWidth="1"/>
    <col min="17" max="17" width="10.33203125" style="46" customWidth="1"/>
    <col min="18" max="18" width="11.83203125" style="62" customWidth="1"/>
    <col min="19" max="19" width="15.83203125" style="92"/>
    <col min="20" max="20" width="10.5" style="45" customWidth="1"/>
    <col min="21" max="21" width="11.1640625" style="46" customWidth="1"/>
    <col min="22" max="22" width="26.83203125" style="77" customWidth="1"/>
    <col min="23" max="23" width="28.6640625" style="78" customWidth="1"/>
    <col min="24" max="24" width="11.83203125" style="45" customWidth="1"/>
    <col min="25" max="25" width="11.33203125" style="62" customWidth="1"/>
    <col min="26" max="16384" width="15.83203125" style="2"/>
  </cols>
  <sheetData>
    <row r="1" spans="1:25" x14ac:dyDescent="0.15">
      <c r="A1" s="18" t="s">
        <v>97</v>
      </c>
    </row>
    <row r="2" spans="1:25" ht="15" customHeight="1" x14ac:dyDescent="0.2">
      <c r="K2" s="93" t="s">
        <v>153</v>
      </c>
      <c r="L2" s="104" t="s">
        <v>143</v>
      </c>
      <c r="M2" s="105"/>
      <c r="N2" s="104" t="s">
        <v>142</v>
      </c>
      <c r="O2" s="106"/>
      <c r="P2" s="106"/>
      <c r="Q2" s="106"/>
      <c r="R2" s="105"/>
      <c r="S2" s="93" t="s">
        <v>152</v>
      </c>
      <c r="T2" s="104" t="s">
        <v>145</v>
      </c>
      <c r="U2" s="106"/>
      <c r="V2" s="106"/>
      <c r="W2" s="105"/>
      <c r="X2" s="104" t="s">
        <v>140</v>
      </c>
      <c r="Y2" s="105"/>
    </row>
    <row r="3" spans="1:25" s="1" customFormat="1" ht="75" x14ac:dyDescent="0.2">
      <c r="A3" s="15" t="s">
        <v>1</v>
      </c>
      <c r="B3" s="15" t="s">
        <v>84</v>
      </c>
      <c r="C3" s="15" t="s">
        <v>2</v>
      </c>
      <c r="D3" s="15" t="s">
        <v>99</v>
      </c>
      <c r="E3" s="15" t="s">
        <v>3</v>
      </c>
      <c r="F3" s="15" t="s">
        <v>123</v>
      </c>
      <c r="G3" s="15" t="s">
        <v>164</v>
      </c>
      <c r="H3" s="15" t="s">
        <v>163</v>
      </c>
      <c r="I3" s="15" t="s">
        <v>162</v>
      </c>
      <c r="J3" s="15" t="s">
        <v>165</v>
      </c>
      <c r="K3" s="103" t="s">
        <v>166</v>
      </c>
      <c r="L3" s="47" t="s">
        <v>81</v>
      </c>
      <c r="M3" s="63" t="s">
        <v>82</v>
      </c>
      <c r="N3" s="47" t="s">
        <v>155</v>
      </c>
      <c r="O3" s="48" t="s">
        <v>156</v>
      </c>
      <c r="P3" s="48" t="s">
        <v>157</v>
      </c>
      <c r="Q3" s="48" t="s">
        <v>158</v>
      </c>
      <c r="R3" s="63" t="s">
        <v>159</v>
      </c>
      <c r="S3" s="94" t="s">
        <v>154</v>
      </c>
      <c r="T3" s="47" t="s">
        <v>139</v>
      </c>
      <c r="U3" s="48" t="s">
        <v>144</v>
      </c>
      <c r="V3" s="48" t="s">
        <v>168</v>
      </c>
      <c r="W3" s="63" t="s">
        <v>146</v>
      </c>
      <c r="X3" s="47" t="s">
        <v>141</v>
      </c>
      <c r="Y3" s="63" t="s">
        <v>167</v>
      </c>
    </row>
    <row r="4" spans="1:25" s="4" customFormat="1" x14ac:dyDescent="0.2">
      <c r="A4" s="3" t="s">
        <v>8</v>
      </c>
      <c r="B4" s="3">
        <v>2018</v>
      </c>
      <c r="C4" s="3">
        <v>52</v>
      </c>
      <c r="D4" s="3">
        <f>Table1[[#This Row],[Collection year]]-C4</f>
        <v>1966</v>
      </c>
      <c r="E4" s="3" t="s">
        <v>7</v>
      </c>
      <c r="F4" s="40" t="s">
        <v>124</v>
      </c>
      <c r="G4" s="3" t="s">
        <v>0</v>
      </c>
      <c r="H4" s="7">
        <v>1.1686273333333299E-3</v>
      </c>
      <c r="I4" s="3"/>
      <c r="J4" s="3"/>
      <c r="K4" s="92"/>
      <c r="L4" s="49" t="s">
        <v>0</v>
      </c>
      <c r="M4" s="70"/>
      <c r="N4" s="49" t="s">
        <v>137</v>
      </c>
      <c r="O4" s="61"/>
      <c r="P4" s="46"/>
      <c r="Q4" s="46"/>
      <c r="R4" s="62"/>
      <c r="S4" s="95" t="s">
        <v>0</v>
      </c>
      <c r="T4" s="45"/>
      <c r="U4" s="61"/>
      <c r="V4" s="77"/>
      <c r="W4" s="79" t="s">
        <v>147</v>
      </c>
      <c r="X4" s="49" t="s">
        <v>0</v>
      </c>
      <c r="Y4" s="62"/>
    </row>
    <row r="5" spans="1:25" s="25" customFormat="1" x14ac:dyDescent="0.2">
      <c r="A5" s="22" t="s">
        <v>9</v>
      </c>
      <c r="B5" s="22">
        <v>2018</v>
      </c>
      <c r="C5" s="22">
        <v>22</v>
      </c>
      <c r="D5" s="22">
        <f>Table1[[#This Row],[Collection year]]-C5</f>
        <v>1996</v>
      </c>
      <c r="E5" s="22" t="s">
        <v>5</v>
      </c>
      <c r="F5" s="41" t="s">
        <v>125</v>
      </c>
      <c r="G5" s="22" t="s">
        <v>0</v>
      </c>
      <c r="H5" s="23" t="s">
        <v>4</v>
      </c>
      <c r="I5" s="22"/>
      <c r="J5" s="22"/>
      <c r="K5" s="96"/>
      <c r="L5" s="50"/>
      <c r="M5" s="64"/>
      <c r="N5" s="50" t="s">
        <v>137</v>
      </c>
      <c r="O5" s="51"/>
      <c r="P5" s="51"/>
      <c r="Q5" s="51"/>
      <c r="R5" s="64"/>
      <c r="S5" s="96"/>
      <c r="T5" s="50"/>
      <c r="U5" s="51"/>
      <c r="V5" s="80"/>
      <c r="W5" s="81"/>
      <c r="X5" s="50"/>
      <c r="Y5" s="64"/>
    </row>
    <row r="6" spans="1:25" s="22" customFormat="1" x14ac:dyDescent="0.2">
      <c r="A6" s="22" t="s">
        <v>10</v>
      </c>
      <c r="B6" s="22">
        <v>2017</v>
      </c>
      <c r="C6" s="22">
        <v>32</v>
      </c>
      <c r="D6" s="22">
        <f>Table1[[#This Row],[Collection year]]-C6</f>
        <v>1985</v>
      </c>
      <c r="E6" s="22" t="s">
        <v>7</v>
      </c>
      <c r="F6" s="41" t="s">
        <v>126</v>
      </c>
      <c r="G6" s="22" t="s">
        <v>0</v>
      </c>
      <c r="H6" s="23" t="s">
        <v>4</v>
      </c>
      <c r="K6" s="96"/>
      <c r="L6" s="50" t="s">
        <v>0</v>
      </c>
      <c r="M6" s="64"/>
      <c r="N6" s="50" t="s">
        <v>137</v>
      </c>
      <c r="O6" s="51"/>
      <c r="P6" s="51"/>
      <c r="Q6" s="51"/>
      <c r="R6" s="64"/>
      <c r="S6" s="96"/>
      <c r="T6" s="50"/>
      <c r="U6" s="51"/>
      <c r="V6" s="80"/>
      <c r="W6" s="81"/>
      <c r="X6" s="50" t="s">
        <v>0</v>
      </c>
      <c r="Y6" s="64"/>
    </row>
    <row r="7" spans="1:25" s="6" customFormat="1" x14ac:dyDescent="0.2">
      <c r="A7" s="5" t="s">
        <v>15</v>
      </c>
      <c r="B7" s="5">
        <v>2018</v>
      </c>
      <c r="C7" s="5">
        <v>52</v>
      </c>
      <c r="D7" s="5">
        <f>Table1[[#This Row],[Collection year]]-C7</f>
        <v>1966</v>
      </c>
      <c r="E7" s="5" t="s">
        <v>7</v>
      </c>
      <c r="F7" s="42" t="s">
        <v>124</v>
      </c>
      <c r="G7" s="5" t="s">
        <v>0</v>
      </c>
      <c r="H7" s="8">
        <v>1.19918005E-2</v>
      </c>
      <c r="I7" s="5"/>
      <c r="J7" s="5"/>
      <c r="K7" s="98" t="s">
        <v>0</v>
      </c>
      <c r="L7" s="52" t="s">
        <v>0</v>
      </c>
      <c r="M7" s="65"/>
      <c r="N7" s="52" t="s">
        <v>0</v>
      </c>
      <c r="O7" s="53" t="s">
        <v>0</v>
      </c>
      <c r="P7" s="53" t="s">
        <v>0</v>
      </c>
      <c r="Q7" s="55"/>
      <c r="R7" s="66"/>
      <c r="S7" s="97"/>
      <c r="T7" s="54"/>
      <c r="U7" s="55"/>
      <c r="V7" s="82"/>
      <c r="W7" s="83"/>
      <c r="X7" s="52" t="s">
        <v>0</v>
      </c>
      <c r="Y7" s="65" t="s">
        <v>0</v>
      </c>
    </row>
    <row r="8" spans="1:25" s="6" customFormat="1" x14ac:dyDescent="0.2">
      <c r="A8" s="5" t="s">
        <v>16</v>
      </c>
      <c r="B8" s="5">
        <v>2018</v>
      </c>
      <c r="C8" s="5">
        <v>51</v>
      </c>
      <c r="D8" s="5">
        <f>Table1[[#This Row],[Collection year]]-C8</f>
        <v>1967</v>
      </c>
      <c r="E8" s="5" t="s">
        <v>7</v>
      </c>
      <c r="F8" s="42" t="s">
        <v>127</v>
      </c>
      <c r="G8" s="5" t="s">
        <v>0</v>
      </c>
      <c r="H8" s="8">
        <v>1.1197230250000001E-2</v>
      </c>
      <c r="I8" s="5"/>
      <c r="J8" s="5"/>
      <c r="K8" s="97"/>
      <c r="L8" s="52" t="s">
        <v>0</v>
      </c>
      <c r="M8" s="65"/>
      <c r="N8" s="52" t="s">
        <v>0</v>
      </c>
      <c r="O8" s="53" t="s">
        <v>0</v>
      </c>
      <c r="P8" s="53" t="s">
        <v>0</v>
      </c>
      <c r="Q8" s="55"/>
      <c r="R8" s="66"/>
      <c r="S8" s="98"/>
      <c r="T8" s="54"/>
      <c r="U8" s="55"/>
      <c r="V8" s="82"/>
      <c r="W8" s="79"/>
      <c r="X8" s="54"/>
      <c r="Y8" s="66"/>
    </row>
    <row r="9" spans="1:25" s="6" customFormat="1" x14ac:dyDescent="0.2">
      <c r="A9" s="5" t="s">
        <v>17</v>
      </c>
      <c r="B9" s="5">
        <v>2017</v>
      </c>
      <c r="C9" s="5">
        <v>57</v>
      </c>
      <c r="D9" s="5">
        <f>Table1[[#This Row],[Collection year]]-C9</f>
        <v>1960</v>
      </c>
      <c r="E9" s="5" t="s">
        <v>5</v>
      </c>
      <c r="F9" s="42" t="s">
        <v>124</v>
      </c>
      <c r="G9" s="5" t="s">
        <v>0</v>
      </c>
      <c r="H9" s="8">
        <v>4.4465673333333303E-2</v>
      </c>
      <c r="I9" s="5"/>
      <c r="J9" s="5"/>
      <c r="K9" s="97"/>
      <c r="L9" s="52" t="s">
        <v>0</v>
      </c>
      <c r="M9" s="65"/>
      <c r="N9" s="52" t="s">
        <v>0</v>
      </c>
      <c r="O9" s="53" t="s">
        <v>0</v>
      </c>
      <c r="P9" s="53" t="s">
        <v>0</v>
      </c>
      <c r="Q9" s="55"/>
      <c r="R9" s="66"/>
      <c r="S9" s="97"/>
      <c r="T9" s="54"/>
      <c r="U9" s="55"/>
      <c r="V9" s="84" t="s">
        <v>147</v>
      </c>
      <c r="W9" s="83"/>
      <c r="X9" s="54"/>
      <c r="Y9" s="66"/>
    </row>
    <row r="10" spans="1:25" s="6" customFormat="1" x14ac:dyDescent="0.2">
      <c r="A10" s="5" t="s">
        <v>18</v>
      </c>
      <c r="B10" s="5">
        <v>2018</v>
      </c>
      <c r="C10" s="5">
        <v>84</v>
      </c>
      <c r="D10" s="5">
        <f>Table1[[#This Row],[Collection year]]-C10</f>
        <v>1934</v>
      </c>
      <c r="E10" s="5" t="s">
        <v>5</v>
      </c>
      <c r="F10" s="42" t="s">
        <v>124</v>
      </c>
      <c r="G10" s="5" t="s">
        <v>0</v>
      </c>
      <c r="H10" s="8">
        <v>4.7065460000000003E-2</v>
      </c>
      <c r="I10" s="5" t="s">
        <v>0</v>
      </c>
      <c r="J10" s="5" t="s">
        <v>0</v>
      </c>
      <c r="K10" s="98" t="s">
        <v>0</v>
      </c>
      <c r="L10" s="52" t="s">
        <v>0</v>
      </c>
      <c r="M10" s="65"/>
      <c r="N10" s="52" t="s">
        <v>0</v>
      </c>
      <c r="O10" s="53" t="s">
        <v>0</v>
      </c>
      <c r="P10" s="53" t="s">
        <v>0</v>
      </c>
      <c r="Q10" s="55"/>
      <c r="R10" s="66"/>
      <c r="S10" s="97"/>
      <c r="T10" s="54"/>
      <c r="U10" s="55"/>
      <c r="V10" s="84" t="s">
        <v>148</v>
      </c>
      <c r="W10" s="83"/>
      <c r="X10" s="52" t="s">
        <v>0</v>
      </c>
      <c r="Y10" s="65" t="s">
        <v>0</v>
      </c>
    </row>
    <row r="11" spans="1:25" s="6" customFormat="1" x14ac:dyDescent="0.2">
      <c r="A11" s="5" t="s">
        <v>19</v>
      </c>
      <c r="B11" s="5">
        <v>2018</v>
      </c>
      <c r="C11" s="5">
        <v>77</v>
      </c>
      <c r="D11" s="5">
        <f>Table1[[#This Row],[Collection year]]-C11</f>
        <v>1941</v>
      </c>
      <c r="E11" s="5" t="s">
        <v>5</v>
      </c>
      <c r="F11" s="42" t="s">
        <v>124</v>
      </c>
      <c r="G11" s="5" t="s">
        <v>0</v>
      </c>
      <c r="H11" s="8">
        <v>1.47062706666667E-2</v>
      </c>
      <c r="I11" s="5"/>
      <c r="J11" s="5"/>
      <c r="K11" s="97"/>
      <c r="L11" s="52" t="s">
        <v>0</v>
      </c>
      <c r="M11" s="65"/>
      <c r="N11" s="52" t="s">
        <v>0</v>
      </c>
      <c r="O11" s="53" t="s">
        <v>0</v>
      </c>
      <c r="P11" s="53" t="s">
        <v>0</v>
      </c>
      <c r="Q11" s="55"/>
      <c r="R11" s="66"/>
      <c r="S11" s="97"/>
      <c r="T11" s="54"/>
      <c r="U11" s="55"/>
      <c r="V11" s="82"/>
      <c r="W11" s="83"/>
      <c r="X11" s="54"/>
      <c r="Y11" s="66"/>
    </row>
    <row r="12" spans="1:25" s="6" customFormat="1" x14ac:dyDescent="0.2">
      <c r="A12" s="5" t="s">
        <v>20</v>
      </c>
      <c r="B12" s="5">
        <v>2015</v>
      </c>
      <c r="C12" s="5">
        <v>62</v>
      </c>
      <c r="D12" s="5">
        <f>Table1[[#This Row],[Collection year]]-C12</f>
        <v>1953</v>
      </c>
      <c r="E12" s="5" t="s">
        <v>5</v>
      </c>
      <c r="F12" s="42" t="s">
        <v>126</v>
      </c>
      <c r="G12" s="5" t="s">
        <v>0</v>
      </c>
      <c r="H12" s="8">
        <v>1.881182E-2</v>
      </c>
      <c r="I12" s="5"/>
      <c r="J12" s="5"/>
      <c r="K12" s="98" t="s">
        <v>0</v>
      </c>
      <c r="L12" s="52" t="s">
        <v>0</v>
      </c>
      <c r="M12" s="65"/>
      <c r="N12" s="52" t="s">
        <v>0</v>
      </c>
      <c r="O12" s="53" t="s">
        <v>0</v>
      </c>
      <c r="P12" s="53" t="s">
        <v>0</v>
      </c>
      <c r="Q12" s="55"/>
      <c r="R12" s="66"/>
      <c r="S12" s="97"/>
      <c r="T12" s="54"/>
      <c r="U12" s="55"/>
      <c r="V12" s="82"/>
      <c r="W12" s="83"/>
      <c r="X12" s="54"/>
      <c r="Y12" s="66"/>
    </row>
    <row r="13" spans="1:25" s="6" customFormat="1" x14ac:dyDescent="0.2">
      <c r="A13" s="6" t="s">
        <v>21</v>
      </c>
      <c r="B13" s="6">
        <v>2008</v>
      </c>
      <c r="C13" s="6">
        <v>84</v>
      </c>
      <c r="D13" s="6">
        <f>Table1[[#This Row],[Collection year]]-C13</f>
        <v>1924</v>
      </c>
      <c r="E13" s="5" t="s">
        <v>7</v>
      </c>
      <c r="F13" s="42" t="s">
        <v>126</v>
      </c>
      <c r="H13" s="10"/>
      <c r="I13" s="9"/>
      <c r="J13" s="9"/>
      <c r="K13" s="99"/>
      <c r="L13" s="52" t="s">
        <v>0</v>
      </c>
      <c r="M13" s="65"/>
      <c r="N13" s="56"/>
      <c r="O13" s="57"/>
      <c r="P13" s="57"/>
      <c r="Q13" s="57"/>
      <c r="R13" s="67"/>
      <c r="S13" s="99"/>
      <c r="T13" s="56"/>
      <c r="U13" s="57"/>
      <c r="V13" s="85"/>
      <c r="W13" s="86"/>
      <c r="X13" s="56"/>
      <c r="Y13" s="67"/>
    </row>
    <row r="14" spans="1:25" s="6" customFormat="1" x14ac:dyDescent="0.2">
      <c r="A14" s="6" t="s">
        <v>22</v>
      </c>
      <c r="B14" s="6">
        <v>2008</v>
      </c>
      <c r="C14" s="6">
        <v>58</v>
      </c>
      <c r="D14" s="6">
        <f>Table1[[#This Row],[Collection year]]-C14</f>
        <v>1950</v>
      </c>
      <c r="E14" s="5" t="s">
        <v>7</v>
      </c>
      <c r="F14" s="42" t="s">
        <v>128</v>
      </c>
      <c r="H14" s="10"/>
      <c r="I14" s="9"/>
      <c r="J14" s="9"/>
      <c r="K14" s="99"/>
      <c r="L14" s="52" t="s">
        <v>0</v>
      </c>
      <c r="M14" s="65"/>
      <c r="N14" s="56"/>
      <c r="O14" s="57"/>
      <c r="P14" s="57"/>
      <c r="Q14" s="57"/>
      <c r="R14" s="67"/>
      <c r="S14" s="98" t="s">
        <v>0</v>
      </c>
      <c r="T14" s="56"/>
      <c r="U14" s="57"/>
      <c r="V14" s="85"/>
      <c r="W14" s="79" t="s">
        <v>147</v>
      </c>
      <c r="X14" s="56"/>
      <c r="Y14" s="67"/>
    </row>
    <row r="15" spans="1:25" s="6" customFormat="1" x14ac:dyDescent="0.2">
      <c r="A15" s="5" t="s">
        <v>23</v>
      </c>
      <c r="B15" s="5">
        <v>2010</v>
      </c>
      <c r="C15" s="5">
        <v>48</v>
      </c>
      <c r="D15" s="5">
        <f>Table1[[#This Row],[Collection year]]-C15</f>
        <v>1962</v>
      </c>
      <c r="E15" s="5" t="s">
        <v>5</v>
      </c>
      <c r="F15" s="42" t="s">
        <v>129</v>
      </c>
      <c r="G15" s="5" t="s">
        <v>0</v>
      </c>
      <c r="H15" s="8" t="s">
        <v>4</v>
      </c>
      <c r="I15" s="5"/>
      <c r="J15" s="5"/>
      <c r="K15" s="97"/>
      <c r="L15" s="52" t="s">
        <v>0</v>
      </c>
      <c r="M15" s="65"/>
      <c r="N15" s="54"/>
      <c r="O15" s="55"/>
      <c r="P15" s="55"/>
      <c r="Q15" s="55"/>
      <c r="R15" s="66"/>
      <c r="S15" s="98"/>
      <c r="T15" s="54"/>
      <c r="U15" s="55"/>
      <c r="V15" s="82"/>
      <c r="W15" s="79" t="s">
        <v>147</v>
      </c>
      <c r="X15" s="52" t="s">
        <v>0</v>
      </c>
      <c r="Y15" s="66"/>
    </row>
    <row r="16" spans="1:25" s="6" customFormat="1" x14ac:dyDescent="0.2">
      <c r="A16" s="5" t="s">
        <v>24</v>
      </c>
      <c r="B16" s="5">
        <v>2010</v>
      </c>
      <c r="C16" s="5">
        <v>81</v>
      </c>
      <c r="D16" s="5">
        <f>Table1[[#This Row],[Collection year]]-C16</f>
        <v>1929</v>
      </c>
      <c r="E16" s="5" t="s">
        <v>5</v>
      </c>
      <c r="F16" s="42" t="s">
        <v>124</v>
      </c>
      <c r="G16" s="5" t="s">
        <v>0</v>
      </c>
      <c r="H16" s="8">
        <v>4.2611963333333298E-3</v>
      </c>
      <c r="I16" s="5"/>
      <c r="J16" s="5"/>
      <c r="K16" s="97"/>
      <c r="L16" s="54"/>
      <c r="M16" s="66"/>
      <c r="N16" s="54"/>
      <c r="O16" s="55"/>
      <c r="P16" s="55"/>
      <c r="Q16" s="55"/>
      <c r="R16" s="66"/>
      <c r="S16" s="97"/>
      <c r="T16" s="54"/>
      <c r="U16" s="55"/>
      <c r="V16" s="82"/>
      <c r="W16" s="83"/>
      <c r="X16" s="54"/>
      <c r="Y16" s="66"/>
    </row>
    <row r="17" spans="1:25" s="6" customFormat="1" x14ac:dyDescent="0.2">
      <c r="A17" s="5" t="s">
        <v>25</v>
      </c>
      <c r="B17" s="5">
        <v>2010</v>
      </c>
      <c r="C17" s="5">
        <v>64</v>
      </c>
      <c r="D17" s="5">
        <f>Table1[[#This Row],[Collection year]]-C17</f>
        <v>1946</v>
      </c>
      <c r="E17" s="5" t="s">
        <v>5</v>
      </c>
      <c r="F17" s="42" t="s">
        <v>124</v>
      </c>
      <c r="G17" s="5" t="s">
        <v>0</v>
      </c>
      <c r="H17" s="8">
        <v>1.091282E-2</v>
      </c>
      <c r="I17" s="5"/>
      <c r="J17" s="5"/>
      <c r="K17" s="97"/>
      <c r="L17" s="54"/>
      <c r="M17" s="66"/>
      <c r="N17" s="54"/>
      <c r="O17" s="55"/>
      <c r="P17" s="55"/>
      <c r="Q17" s="55"/>
      <c r="R17" s="66"/>
      <c r="S17" s="97"/>
      <c r="T17" s="54"/>
      <c r="U17" s="55"/>
      <c r="V17" s="87"/>
      <c r="W17" s="83"/>
      <c r="X17" s="54"/>
      <c r="Y17" s="66"/>
    </row>
    <row r="18" spans="1:25" s="6" customFormat="1" x14ac:dyDescent="0.2">
      <c r="A18" s="5" t="s">
        <v>26</v>
      </c>
      <c r="B18" s="5">
        <v>2010</v>
      </c>
      <c r="C18" s="5">
        <v>67</v>
      </c>
      <c r="D18" s="5">
        <f>Table1[[#This Row],[Collection year]]-C18</f>
        <v>1943</v>
      </c>
      <c r="E18" s="5" t="s">
        <v>6</v>
      </c>
      <c r="F18" s="42" t="s">
        <v>124</v>
      </c>
      <c r="G18" s="5" t="s">
        <v>0</v>
      </c>
      <c r="H18" s="8">
        <v>6.2179336666666699E-3</v>
      </c>
      <c r="I18" s="5"/>
      <c r="J18" s="5"/>
      <c r="K18" s="97"/>
      <c r="L18" s="52" t="s">
        <v>0</v>
      </c>
      <c r="M18" s="65"/>
      <c r="N18" s="54"/>
      <c r="O18" s="55"/>
      <c r="P18" s="55"/>
      <c r="Q18" s="55"/>
      <c r="R18" s="66"/>
      <c r="S18" s="97"/>
      <c r="T18" s="54"/>
      <c r="U18" s="55"/>
      <c r="V18" s="82"/>
      <c r="W18" s="83"/>
      <c r="X18" s="54"/>
      <c r="Y18" s="66"/>
    </row>
    <row r="19" spans="1:25" s="6" customFormat="1" x14ac:dyDescent="0.2">
      <c r="A19" s="5" t="s">
        <v>27</v>
      </c>
      <c r="B19" s="5">
        <v>2010</v>
      </c>
      <c r="C19" s="5">
        <v>70</v>
      </c>
      <c r="D19" s="5">
        <f>Table1[[#This Row],[Collection year]]-C19</f>
        <v>1940</v>
      </c>
      <c r="E19" s="5" t="s">
        <v>7</v>
      </c>
      <c r="F19" s="42" t="s">
        <v>124</v>
      </c>
      <c r="G19" s="5" t="s">
        <v>0</v>
      </c>
      <c r="H19" s="8">
        <v>6.8000000000000005E-2</v>
      </c>
      <c r="I19" s="5"/>
      <c r="J19" s="5"/>
      <c r="K19" s="97"/>
      <c r="L19" s="54"/>
      <c r="M19" s="66"/>
      <c r="N19" s="54"/>
      <c r="O19" s="55"/>
      <c r="P19" s="55"/>
      <c r="Q19" s="55"/>
      <c r="R19" s="66"/>
      <c r="S19" s="97"/>
      <c r="T19" s="54"/>
      <c r="U19" s="55"/>
      <c r="V19" s="82"/>
      <c r="W19" s="83"/>
      <c r="X19" s="54"/>
      <c r="Y19" s="66"/>
    </row>
    <row r="20" spans="1:25" s="6" customFormat="1" x14ac:dyDescent="0.2">
      <c r="A20" s="5" t="s">
        <v>28</v>
      </c>
      <c r="B20" s="5">
        <v>2011</v>
      </c>
      <c r="C20" s="5">
        <v>57</v>
      </c>
      <c r="D20" s="5">
        <f>Table1[[#This Row],[Collection year]]-C20</f>
        <v>1954</v>
      </c>
      <c r="E20" s="5" t="s">
        <v>5</v>
      </c>
      <c r="F20" s="42" t="s">
        <v>124</v>
      </c>
      <c r="G20" s="5" t="s">
        <v>0</v>
      </c>
      <c r="H20" s="8">
        <v>8.4168400000000001E-3</v>
      </c>
      <c r="I20" s="5"/>
      <c r="J20" s="5"/>
      <c r="K20" s="97"/>
      <c r="L20" s="54"/>
      <c r="M20" s="66"/>
      <c r="N20" s="54"/>
      <c r="O20" s="55"/>
      <c r="P20" s="55"/>
      <c r="Q20" s="55"/>
      <c r="R20" s="66"/>
      <c r="S20" s="97"/>
      <c r="T20" s="54"/>
      <c r="U20" s="55"/>
      <c r="V20" s="82"/>
      <c r="W20" s="83"/>
      <c r="X20" s="54"/>
      <c r="Y20" s="66"/>
    </row>
    <row r="21" spans="1:25" s="6" customFormat="1" x14ac:dyDescent="0.2">
      <c r="A21" s="5" t="s">
        <v>29</v>
      </c>
      <c r="B21" s="5">
        <v>2011</v>
      </c>
      <c r="C21" s="5">
        <v>86</v>
      </c>
      <c r="D21" s="5">
        <f>Table1[[#This Row],[Collection year]]-C21</f>
        <v>1925</v>
      </c>
      <c r="E21" s="5" t="s">
        <v>7</v>
      </c>
      <c r="F21" s="42" t="s">
        <v>124</v>
      </c>
      <c r="G21" s="5" t="s">
        <v>0</v>
      </c>
      <c r="H21" s="8">
        <v>1.2E-2</v>
      </c>
      <c r="I21" s="5"/>
      <c r="J21" s="5"/>
      <c r="K21" s="97"/>
      <c r="L21" s="54"/>
      <c r="M21" s="66"/>
      <c r="N21" s="54"/>
      <c r="O21" s="55"/>
      <c r="P21" s="55"/>
      <c r="Q21" s="55"/>
      <c r="R21" s="66"/>
      <c r="S21" s="97"/>
      <c r="T21" s="54"/>
      <c r="U21" s="55"/>
      <c r="V21" s="84" t="s">
        <v>149</v>
      </c>
      <c r="W21" s="83"/>
      <c r="X21" s="54"/>
      <c r="Y21" s="66"/>
    </row>
    <row r="22" spans="1:25" s="6" customFormat="1" x14ac:dyDescent="0.2">
      <c r="A22" s="5" t="s">
        <v>30</v>
      </c>
      <c r="B22" s="5">
        <v>2011</v>
      </c>
      <c r="C22" s="5">
        <v>60</v>
      </c>
      <c r="D22" s="5">
        <f>Table1[[#This Row],[Collection year]]-C22</f>
        <v>1951</v>
      </c>
      <c r="E22" s="5" t="s">
        <v>7</v>
      </c>
      <c r="F22" s="42" t="s">
        <v>124</v>
      </c>
      <c r="G22" s="5" t="s">
        <v>0</v>
      </c>
      <c r="H22" s="8">
        <v>1.0181820000000001E-3</v>
      </c>
      <c r="I22" s="5"/>
      <c r="J22" s="5"/>
      <c r="K22" s="97"/>
      <c r="L22" s="52" t="s">
        <v>0</v>
      </c>
      <c r="M22" s="65"/>
      <c r="N22" s="54"/>
      <c r="O22" s="55"/>
      <c r="P22" s="55"/>
      <c r="Q22" s="55"/>
      <c r="R22" s="66"/>
      <c r="S22" s="98" t="s">
        <v>0</v>
      </c>
      <c r="T22" s="54"/>
      <c r="U22" s="55"/>
      <c r="V22" s="82"/>
      <c r="W22" s="79" t="s">
        <v>147</v>
      </c>
      <c r="X22" s="52" t="s">
        <v>0</v>
      </c>
      <c r="Y22" s="66"/>
    </row>
    <row r="23" spans="1:25" s="6" customFormat="1" x14ac:dyDescent="0.2">
      <c r="A23" s="5" t="s">
        <v>31</v>
      </c>
      <c r="B23" s="5">
        <v>2011</v>
      </c>
      <c r="C23" s="5">
        <v>72</v>
      </c>
      <c r="D23" s="5">
        <f>Table1[[#This Row],[Collection year]]-C23</f>
        <v>1939</v>
      </c>
      <c r="E23" s="5" t="s">
        <v>5</v>
      </c>
      <c r="F23" s="42" t="s">
        <v>128</v>
      </c>
      <c r="G23" s="5" t="s">
        <v>0</v>
      </c>
      <c r="H23" s="8">
        <v>6.2222220000000003E-3</v>
      </c>
      <c r="I23" s="5"/>
      <c r="J23" s="5"/>
      <c r="K23" s="97"/>
      <c r="L23" s="54"/>
      <c r="M23" s="66"/>
      <c r="N23" s="54"/>
      <c r="O23" s="55"/>
      <c r="P23" s="55"/>
      <c r="Q23" s="55"/>
      <c r="R23" s="66"/>
      <c r="S23" s="97"/>
      <c r="T23" s="54"/>
      <c r="U23" s="55"/>
      <c r="V23" s="82"/>
      <c r="W23" s="83"/>
      <c r="X23" s="54"/>
      <c r="Y23" s="66"/>
    </row>
    <row r="24" spans="1:25" s="6" customFormat="1" x14ac:dyDescent="0.2">
      <c r="A24" s="5" t="s">
        <v>32</v>
      </c>
      <c r="B24" s="5">
        <v>2011</v>
      </c>
      <c r="C24" s="5">
        <v>57</v>
      </c>
      <c r="D24" s="5">
        <f>Table1[[#This Row],[Collection year]]-C24</f>
        <v>1954</v>
      </c>
      <c r="E24" s="5" t="s">
        <v>5</v>
      </c>
      <c r="F24" s="42" t="s">
        <v>124</v>
      </c>
      <c r="G24" s="5" t="s">
        <v>0</v>
      </c>
      <c r="H24" s="8" t="s">
        <v>4</v>
      </c>
      <c r="I24" s="5"/>
      <c r="J24" s="5"/>
      <c r="K24" s="97"/>
      <c r="L24" s="52" t="s">
        <v>0</v>
      </c>
      <c r="M24" s="65"/>
      <c r="N24" s="54"/>
      <c r="O24" s="55"/>
      <c r="P24" s="55"/>
      <c r="Q24" s="55"/>
      <c r="R24" s="66"/>
      <c r="S24" s="97"/>
      <c r="T24" s="54"/>
      <c r="U24" s="55"/>
      <c r="V24" s="82"/>
      <c r="W24" s="83"/>
      <c r="X24" s="54"/>
      <c r="Y24" s="66"/>
    </row>
    <row r="25" spans="1:25" s="6" customFormat="1" x14ac:dyDescent="0.2">
      <c r="A25" s="5" t="s">
        <v>33</v>
      </c>
      <c r="B25" s="5">
        <v>2011</v>
      </c>
      <c r="C25" s="5">
        <v>78</v>
      </c>
      <c r="D25" s="5">
        <f>Table1[[#This Row],[Collection year]]-C25</f>
        <v>1933</v>
      </c>
      <c r="E25" s="5" t="s">
        <v>5</v>
      </c>
      <c r="F25" s="42" t="s">
        <v>128</v>
      </c>
      <c r="G25" s="5"/>
      <c r="H25" s="8"/>
      <c r="I25" s="5"/>
      <c r="J25" s="5"/>
      <c r="K25" s="97"/>
      <c r="L25" s="52" t="s">
        <v>0</v>
      </c>
      <c r="M25" s="65"/>
      <c r="N25" s="54"/>
      <c r="O25" s="55"/>
      <c r="P25" s="55"/>
      <c r="Q25" s="55"/>
      <c r="R25" s="66"/>
      <c r="S25" s="97"/>
      <c r="T25" s="54"/>
      <c r="U25" s="55"/>
      <c r="V25" s="82"/>
      <c r="W25" s="83"/>
      <c r="X25" s="54"/>
      <c r="Y25" s="66"/>
    </row>
    <row r="26" spans="1:25" s="6" customFormat="1" x14ac:dyDescent="0.2">
      <c r="A26" s="5" t="s">
        <v>34</v>
      </c>
      <c r="B26" s="5">
        <v>2012</v>
      </c>
      <c r="C26" s="6">
        <v>48</v>
      </c>
      <c r="D26" s="14">
        <f>Table1[[#This Row],[Collection year]]-C26</f>
        <v>1964</v>
      </c>
      <c r="E26" s="6" t="s">
        <v>5</v>
      </c>
      <c r="F26" s="43" t="s">
        <v>129</v>
      </c>
      <c r="G26" s="5" t="s">
        <v>0</v>
      </c>
      <c r="H26" s="13">
        <v>2.1333329999999998E-3</v>
      </c>
      <c r="K26" s="97"/>
      <c r="L26" s="52"/>
      <c r="M26" s="65"/>
      <c r="N26" s="52"/>
      <c r="O26" s="53"/>
      <c r="P26" s="55"/>
      <c r="Q26" s="55"/>
      <c r="R26" s="66"/>
      <c r="S26" s="97"/>
      <c r="T26" s="54"/>
      <c r="U26" s="55"/>
      <c r="V26" s="82"/>
      <c r="W26" s="79"/>
      <c r="X26" s="52"/>
      <c r="Y26" s="66"/>
    </row>
    <row r="27" spans="1:25" s="6" customFormat="1" x14ac:dyDescent="0.2">
      <c r="A27" s="6" t="s">
        <v>35</v>
      </c>
      <c r="B27" s="5">
        <v>2012</v>
      </c>
      <c r="C27" s="5">
        <v>72</v>
      </c>
      <c r="D27" s="5">
        <f>Table1[[#This Row],[Collection year]]-C27</f>
        <v>1940</v>
      </c>
      <c r="E27" s="5" t="s">
        <v>7</v>
      </c>
      <c r="F27" s="42" t="s">
        <v>124</v>
      </c>
      <c r="G27" s="5" t="s">
        <v>0</v>
      </c>
      <c r="H27" s="8">
        <v>8.9302329999999992E-3</v>
      </c>
      <c r="I27" s="5"/>
      <c r="J27" s="5"/>
      <c r="K27" s="97"/>
      <c r="L27" s="52"/>
      <c r="M27" s="65"/>
      <c r="N27" s="54"/>
      <c r="O27" s="55"/>
      <c r="P27" s="55"/>
      <c r="Q27" s="55"/>
      <c r="R27" s="66"/>
      <c r="S27" s="97"/>
      <c r="T27" s="52" t="s">
        <v>0</v>
      </c>
      <c r="U27" s="55"/>
      <c r="V27" s="82"/>
      <c r="W27" s="83"/>
      <c r="X27" s="52"/>
      <c r="Y27" s="66"/>
    </row>
    <row r="28" spans="1:25" s="6" customFormat="1" x14ac:dyDescent="0.2">
      <c r="A28" s="5" t="s">
        <v>36</v>
      </c>
      <c r="B28" s="5">
        <v>2012</v>
      </c>
      <c r="C28" s="5">
        <v>69</v>
      </c>
      <c r="D28" s="5">
        <f>Table1[[#This Row],[Collection year]]-C28</f>
        <v>1943</v>
      </c>
      <c r="E28" s="5" t="s">
        <v>5</v>
      </c>
      <c r="F28" s="42" t="s">
        <v>124</v>
      </c>
      <c r="G28" s="5" t="s">
        <v>0</v>
      </c>
      <c r="H28" s="8">
        <v>5.0947895000000003E-3</v>
      </c>
      <c r="I28" s="5"/>
      <c r="J28" s="5"/>
      <c r="K28" s="97"/>
      <c r="L28" s="54"/>
      <c r="M28" s="66"/>
      <c r="N28" s="54"/>
      <c r="O28" s="55"/>
      <c r="P28" s="55"/>
      <c r="Q28" s="55"/>
      <c r="R28" s="66"/>
      <c r="S28" s="97"/>
      <c r="T28" s="54"/>
      <c r="U28" s="55"/>
      <c r="V28" s="82"/>
      <c r="W28" s="83"/>
      <c r="X28" s="54"/>
      <c r="Y28" s="66"/>
    </row>
    <row r="29" spans="1:25" s="6" customFormat="1" x14ac:dyDescent="0.2">
      <c r="A29" s="5" t="s">
        <v>37</v>
      </c>
      <c r="B29" s="6">
        <v>2012</v>
      </c>
      <c r="C29" s="6">
        <v>62</v>
      </c>
      <c r="D29" s="14">
        <f>Table1[[#This Row],[Collection year]]-C29</f>
        <v>1950</v>
      </c>
      <c r="E29" s="6" t="s">
        <v>7</v>
      </c>
      <c r="F29" s="43" t="s">
        <v>136</v>
      </c>
      <c r="G29" s="5" t="s">
        <v>0</v>
      </c>
      <c r="H29" s="8">
        <v>9.6240599999999996E-4</v>
      </c>
      <c r="K29" s="97"/>
      <c r="L29" s="52"/>
      <c r="M29" s="65"/>
      <c r="N29" s="52"/>
      <c r="O29" s="53"/>
      <c r="P29" s="55"/>
      <c r="Q29" s="55"/>
      <c r="R29" s="66"/>
      <c r="S29" s="97"/>
      <c r="T29" s="54"/>
      <c r="U29" s="55"/>
      <c r="V29" s="82"/>
      <c r="W29" s="79"/>
      <c r="X29" s="52"/>
      <c r="Y29" s="66"/>
    </row>
    <row r="30" spans="1:25" s="6" customFormat="1" x14ac:dyDescent="0.2">
      <c r="A30" s="6" t="s">
        <v>38</v>
      </c>
      <c r="B30" s="5">
        <v>2012</v>
      </c>
      <c r="C30" s="5">
        <v>68</v>
      </c>
      <c r="D30" s="5">
        <f>Table1[[#This Row],[Collection year]]-C30</f>
        <v>1944</v>
      </c>
      <c r="E30" s="5" t="s">
        <v>7</v>
      </c>
      <c r="F30" s="42" t="s">
        <v>124</v>
      </c>
      <c r="G30" s="5" t="s">
        <v>0</v>
      </c>
      <c r="H30" s="8">
        <v>1.0999999999999999E-2</v>
      </c>
      <c r="I30" s="5"/>
      <c r="J30" s="5"/>
      <c r="K30" s="97"/>
      <c r="L30" s="54"/>
      <c r="M30" s="66"/>
      <c r="N30" s="54"/>
      <c r="O30" s="55"/>
      <c r="P30" s="55"/>
      <c r="Q30" s="55"/>
      <c r="R30" s="66"/>
      <c r="S30" s="97"/>
      <c r="T30" s="54"/>
      <c r="U30" s="55"/>
      <c r="V30" s="84" t="s">
        <v>150</v>
      </c>
      <c r="W30" s="83"/>
      <c r="X30" s="54"/>
      <c r="Y30" s="66"/>
    </row>
    <row r="31" spans="1:25" s="6" customFormat="1" x14ac:dyDescent="0.2">
      <c r="A31" s="6" t="s">
        <v>39</v>
      </c>
      <c r="B31" s="5">
        <v>2012</v>
      </c>
      <c r="C31" s="5">
        <v>46</v>
      </c>
      <c r="D31" s="5">
        <f>Table1[[#This Row],[Collection year]]-C31</f>
        <v>1966</v>
      </c>
      <c r="E31" s="5" t="s">
        <v>5</v>
      </c>
      <c r="F31" s="42" t="s">
        <v>124</v>
      </c>
      <c r="G31" s="5" t="s">
        <v>0</v>
      </c>
      <c r="H31" s="8">
        <v>1.9199999999999998E-2</v>
      </c>
      <c r="I31" s="5"/>
      <c r="J31" s="5"/>
      <c r="K31" s="97"/>
      <c r="L31" s="54"/>
      <c r="M31" s="66"/>
      <c r="N31" s="54"/>
      <c r="O31" s="55"/>
      <c r="P31" s="55"/>
      <c r="Q31" s="55"/>
      <c r="R31" s="66"/>
      <c r="S31" s="97"/>
      <c r="T31" s="54"/>
      <c r="U31" s="55"/>
      <c r="V31" s="82"/>
      <c r="W31" s="83"/>
      <c r="X31" s="52" t="s">
        <v>0</v>
      </c>
      <c r="Y31" s="66"/>
    </row>
    <row r="32" spans="1:25" s="6" customFormat="1" x14ac:dyDescent="0.2">
      <c r="A32" s="6" t="s">
        <v>40</v>
      </c>
      <c r="B32" s="5">
        <v>2012</v>
      </c>
      <c r="C32" s="5">
        <v>80</v>
      </c>
      <c r="D32" s="5">
        <f>Table1[[#This Row],[Collection year]]-C32</f>
        <v>1932</v>
      </c>
      <c r="E32" s="5" t="s">
        <v>7</v>
      </c>
      <c r="F32" s="42" t="s">
        <v>124</v>
      </c>
      <c r="G32" s="5" t="s">
        <v>0</v>
      </c>
      <c r="H32" s="8">
        <v>1.1322949000000001E-2</v>
      </c>
      <c r="I32" s="5"/>
      <c r="J32" s="5"/>
      <c r="K32" s="97"/>
      <c r="L32" s="54"/>
      <c r="M32" s="66"/>
      <c r="N32" s="54"/>
      <c r="O32" s="55"/>
      <c r="P32" s="55"/>
      <c r="Q32" s="55"/>
      <c r="R32" s="66"/>
      <c r="S32" s="97"/>
      <c r="T32" s="54"/>
      <c r="U32" s="55"/>
      <c r="V32" s="82"/>
      <c r="W32" s="83"/>
      <c r="X32" s="54"/>
      <c r="Y32" s="66"/>
    </row>
    <row r="33" spans="1:25" s="6" customFormat="1" x14ac:dyDescent="0.2">
      <c r="A33" s="6" t="s">
        <v>41</v>
      </c>
      <c r="B33" s="5">
        <v>2012</v>
      </c>
      <c r="C33" s="5">
        <v>57</v>
      </c>
      <c r="D33" s="5">
        <f>Table1[[#This Row],[Collection year]]-C33</f>
        <v>1955</v>
      </c>
      <c r="E33" s="5" t="s">
        <v>5</v>
      </c>
      <c r="F33" s="42" t="s">
        <v>124</v>
      </c>
      <c r="G33" s="5" t="s">
        <v>0</v>
      </c>
      <c r="H33" s="8">
        <v>4.2999999999999997E-2</v>
      </c>
      <c r="I33" s="5"/>
      <c r="J33" s="5"/>
      <c r="K33" s="97"/>
      <c r="L33" s="54"/>
      <c r="M33" s="66"/>
      <c r="N33" s="54"/>
      <c r="O33" s="55"/>
      <c r="P33" s="55"/>
      <c r="Q33" s="55"/>
      <c r="R33" s="66"/>
      <c r="S33" s="97"/>
      <c r="T33" s="54"/>
      <c r="U33" s="55"/>
      <c r="V33" s="84" t="s">
        <v>150</v>
      </c>
      <c r="W33" s="83"/>
      <c r="X33" s="54"/>
      <c r="Y33" s="66"/>
    </row>
    <row r="34" spans="1:25" s="6" customFormat="1" x14ac:dyDescent="0.2">
      <c r="A34" s="5" t="s">
        <v>42</v>
      </c>
      <c r="B34" s="5">
        <v>2012</v>
      </c>
      <c r="C34" s="5">
        <v>87</v>
      </c>
      <c r="D34" s="5">
        <f>Table1[[#This Row],[Collection year]]-C34</f>
        <v>1925</v>
      </c>
      <c r="E34" s="5" t="s">
        <v>7</v>
      </c>
      <c r="F34" s="42" t="s">
        <v>124</v>
      </c>
      <c r="G34" s="5" t="s">
        <v>0</v>
      </c>
      <c r="H34" s="8">
        <v>3.0000000000000001E-3</v>
      </c>
      <c r="I34" s="5"/>
      <c r="J34" s="5"/>
      <c r="K34" s="97"/>
      <c r="L34" s="54"/>
      <c r="M34" s="66"/>
      <c r="N34" s="54"/>
      <c r="O34" s="55"/>
      <c r="P34" s="55"/>
      <c r="Q34" s="55"/>
      <c r="R34" s="66"/>
      <c r="S34" s="97"/>
      <c r="T34" s="52" t="s">
        <v>0</v>
      </c>
      <c r="U34" s="55"/>
      <c r="V34" s="82"/>
      <c r="W34" s="83"/>
      <c r="X34" s="54"/>
      <c r="Y34" s="66"/>
    </row>
    <row r="35" spans="1:25" s="6" customFormat="1" x14ac:dyDescent="0.2">
      <c r="A35" s="5" t="s">
        <v>43</v>
      </c>
      <c r="B35" s="5">
        <v>2013</v>
      </c>
      <c r="C35" s="5">
        <v>60</v>
      </c>
      <c r="D35" s="5">
        <f>Table1[[#This Row],[Collection year]]-C35</f>
        <v>1953</v>
      </c>
      <c r="E35" s="5" t="s">
        <v>7</v>
      </c>
      <c r="F35" s="42" t="s">
        <v>124</v>
      </c>
      <c r="G35" s="5" t="s">
        <v>0</v>
      </c>
      <c r="H35" s="8">
        <v>9.6428569999999995E-3</v>
      </c>
      <c r="I35" s="5"/>
      <c r="J35" s="5"/>
      <c r="K35" s="97"/>
      <c r="L35" s="54"/>
      <c r="M35" s="66"/>
      <c r="N35" s="54"/>
      <c r="O35" s="55"/>
      <c r="P35" s="55"/>
      <c r="Q35" s="55"/>
      <c r="R35" s="66"/>
      <c r="S35" s="97"/>
      <c r="T35" s="54"/>
      <c r="U35" s="55"/>
      <c r="V35" s="82"/>
      <c r="W35" s="83"/>
      <c r="X35" s="54"/>
      <c r="Y35" s="66"/>
    </row>
    <row r="36" spans="1:25" s="6" customFormat="1" x14ac:dyDescent="0.2">
      <c r="A36" s="5" t="s">
        <v>44</v>
      </c>
      <c r="B36" s="5">
        <v>2013</v>
      </c>
      <c r="C36" s="5">
        <v>58</v>
      </c>
      <c r="D36" s="5">
        <f>Table1[[#This Row],[Collection year]]-C36</f>
        <v>1955</v>
      </c>
      <c r="E36" s="5" t="s">
        <v>7</v>
      </c>
      <c r="F36" s="42" t="s">
        <v>128</v>
      </c>
      <c r="G36" s="5" t="s">
        <v>0</v>
      </c>
      <c r="H36" s="8">
        <v>5.7066909999999998E-3</v>
      </c>
      <c r="I36" s="5"/>
      <c r="J36" s="5"/>
      <c r="K36" s="97"/>
      <c r="L36" s="54"/>
      <c r="M36" s="66"/>
      <c r="N36" s="54"/>
      <c r="O36" s="55"/>
      <c r="P36" s="55"/>
      <c r="Q36" s="55"/>
      <c r="R36" s="66"/>
      <c r="S36" s="97"/>
      <c r="T36" s="54"/>
      <c r="U36" s="55"/>
      <c r="V36" s="82"/>
      <c r="W36" s="83"/>
      <c r="X36" s="54"/>
      <c r="Y36" s="66"/>
    </row>
    <row r="37" spans="1:25" s="6" customFormat="1" x14ac:dyDescent="0.2">
      <c r="A37" s="5" t="s">
        <v>45</v>
      </c>
      <c r="B37" s="5">
        <v>2013</v>
      </c>
      <c r="C37" s="5">
        <v>49</v>
      </c>
      <c r="D37" s="5">
        <f>Table1[[#This Row],[Collection year]]-C37</f>
        <v>1964</v>
      </c>
      <c r="E37" s="5" t="s">
        <v>5</v>
      </c>
      <c r="F37" s="42" t="s">
        <v>127</v>
      </c>
      <c r="G37" s="5" t="s">
        <v>0</v>
      </c>
      <c r="H37" s="8" t="s">
        <v>4</v>
      </c>
      <c r="I37" s="5"/>
      <c r="J37" s="5"/>
      <c r="K37" s="97"/>
      <c r="L37" s="54"/>
      <c r="M37" s="66"/>
      <c r="N37" s="54"/>
      <c r="O37" s="55"/>
      <c r="P37" s="55"/>
      <c r="Q37" s="55"/>
      <c r="R37" s="66"/>
      <c r="S37" s="97"/>
      <c r="T37" s="54"/>
      <c r="U37" s="55"/>
      <c r="V37" s="82"/>
      <c r="W37" s="83"/>
      <c r="X37" s="54"/>
      <c r="Y37" s="66"/>
    </row>
    <row r="38" spans="1:25" s="6" customFormat="1" x14ac:dyDescent="0.2">
      <c r="A38" s="5" t="s">
        <v>46</v>
      </c>
      <c r="B38" s="5">
        <v>2014</v>
      </c>
      <c r="C38" s="5">
        <v>81</v>
      </c>
      <c r="D38" s="5">
        <f>Table1[[#This Row],[Collection year]]-C38</f>
        <v>1933</v>
      </c>
      <c r="E38" s="5" t="s">
        <v>7</v>
      </c>
      <c r="F38" s="43" t="s">
        <v>136</v>
      </c>
      <c r="G38" s="5" t="s">
        <v>0</v>
      </c>
      <c r="H38" s="8" t="s">
        <v>4</v>
      </c>
      <c r="I38" s="5"/>
      <c r="J38" s="5"/>
      <c r="K38" s="97"/>
      <c r="L38" s="54"/>
      <c r="M38" s="66"/>
      <c r="N38" s="54"/>
      <c r="O38" s="55"/>
      <c r="P38" s="55"/>
      <c r="Q38" s="55"/>
      <c r="R38" s="66"/>
      <c r="S38" s="97"/>
      <c r="T38" s="54"/>
      <c r="U38" s="55"/>
      <c r="V38" s="82"/>
      <c r="W38" s="83"/>
      <c r="X38" s="54"/>
      <c r="Y38" s="66"/>
    </row>
    <row r="39" spans="1:25" s="6" customFormat="1" x14ac:dyDescent="0.2">
      <c r="A39" s="5" t="s">
        <v>47</v>
      </c>
      <c r="B39" s="5">
        <v>2015</v>
      </c>
      <c r="C39" s="5">
        <v>81</v>
      </c>
      <c r="D39" s="5">
        <f>Table1[[#This Row],[Collection year]]-C39</f>
        <v>1934</v>
      </c>
      <c r="E39" s="5" t="s">
        <v>5</v>
      </c>
      <c r="F39" s="43" t="s">
        <v>136</v>
      </c>
      <c r="G39" s="5" t="s">
        <v>0</v>
      </c>
      <c r="H39" s="8">
        <v>1.12E-2</v>
      </c>
      <c r="I39" s="5"/>
      <c r="J39" s="5"/>
      <c r="K39" s="97"/>
      <c r="L39" s="54"/>
      <c r="M39" s="66"/>
      <c r="N39" s="54"/>
      <c r="O39" s="55"/>
      <c r="P39" s="55"/>
      <c r="Q39" s="55"/>
      <c r="R39" s="66"/>
      <c r="S39" s="97"/>
      <c r="T39" s="54"/>
      <c r="U39" s="55"/>
      <c r="V39" s="82"/>
      <c r="W39" s="83"/>
      <c r="X39" s="54"/>
      <c r="Y39" s="66"/>
    </row>
    <row r="40" spans="1:25" s="6" customFormat="1" x14ac:dyDescent="0.2">
      <c r="A40" s="5" t="s">
        <v>48</v>
      </c>
      <c r="B40" s="5">
        <v>2015</v>
      </c>
      <c r="C40" s="5">
        <v>60</v>
      </c>
      <c r="D40" s="5">
        <f>Table1[[#This Row],[Collection year]]-C40</f>
        <v>1955</v>
      </c>
      <c r="E40" s="5" t="s">
        <v>7</v>
      </c>
      <c r="F40" s="42" t="s">
        <v>130</v>
      </c>
      <c r="G40" s="5" t="s">
        <v>0</v>
      </c>
      <c r="H40" s="8">
        <v>3.2653059999999999E-3</v>
      </c>
      <c r="I40" s="5"/>
      <c r="J40" s="5"/>
      <c r="K40" s="97"/>
      <c r="L40" s="54"/>
      <c r="M40" s="66"/>
      <c r="N40" s="54"/>
      <c r="O40" s="55"/>
      <c r="P40" s="55"/>
      <c r="Q40" s="55"/>
      <c r="R40" s="66"/>
      <c r="S40" s="97"/>
      <c r="T40" s="54"/>
      <c r="U40" s="55"/>
      <c r="V40" s="82" t="s">
        <v>151</v>
      </c>
      <c r="W40" s="83"/>
      <c r="X40" s="54"/>
      <c r="Y40" s="66"/>
    </row>
    <row r="41" spans="1:25" s="6" customFormat="1" x14ac:dyDescent="0.2">
      <c r="A41" s="5" t="s">
        <v>49</v>
      </c>
      <c r="B41" s="5">
        <v>2015</v>
      </c>
      <c r="C41" s="5">
        <v>70</v>
      </c>
      <c r="D41" s="5">
        <f>Table1[[#This Row],[Collection year]]-C41</f>
        <v>1945</v>
      </c>
      <c r="E41" s="5" t="s">
        <v>7</v>
      </c>
      <c r="F41" s="42" t="s">
        <v>124</v>
      </c>
      <c r="G41" s="5" t="s">
        <v>0</v>
      </c>
      <c r="H41" s="8">
        <v>1.668721E-3</v>
      </c>
      <c r="I41" s="5"/>
      <c r="J41" s="5"/>
      <c r="K41" s="97"/>
      <c r="L41" s="54" t="s">
        <v>0</v>
      </c>
      <c r="M41" s="66"/>
      <c r="N41" s="54"/>
      <c r="O41" s="55"/>
      <c r="P41" s="55"/>
      <c r="Q41" s="53" t="s">
        <v>0</v>
      </c>
      <c r="R41" s="65" t="s">
        <v>0</v>
      </c>
      <c r="S41" s="97"/>
      <c r="T41" s="52" t="s">
        <v>0</v>
      </c>
      <c r="U41" s="53" t="s">
        <v>0</v>
      </c>
      <c r="V41" s="82"/>
      <c r="W41" s="83"/>
      <c r="X41" s="52" t="s">
        <v>0</v>
      </c>
      <c r="Y41" s="66"/>
    </row>
    <row r="42" spans="1:25" s="6" customFormat="1" x14ac:dyDescent="0.2">
      <c r="A42" s="5" t="s">
        <v>50</v>
      </c>
      <c r="B42" s="5">
        <v>2015</v>
      </c>
      <c r="C42" s="5">
        <v>50</v>
      </c>
      <c r="D42" s="5">
        <f>Table1[[#This Row],[Collection year]]-C42</f>
        <v>1965</v>
      </c>
      <c r="E42" s="5" t="s">
        <v>7</v>
      </c>
      <c r="F42" s="43" t="s">
        <v>136</v>
      </c>
      <c r="G42" s="5" t="s">
        <v>0</v>
      </c>
      <c r="H42" s="8">
        <v>6.5475826666666704E-3</v>
      </c>
      <c r="I42" s="5"/>
      <c r="J42" s="5"/>
      <c r="K42" s="97"/>
      <c r="L42" s="54"/>
      <c r="M42" s="66"/>
      <c r="N42" s="54"/>
      <c r="O42" s="55"/>
      <c r="P42" s="55"/>
      <c r="Q42" s="53"/>
      <c r="R42" s="65"/>
      <c r="S42" s="97"/>
      <c r="T42" s="52"/>
      <c r="U42" s="53"/>
      <c r="V42" s="82"/>
      <c r="W42" s="83"/>
      <c r="X42" s="52"/>
      <c r="Y42" s="66"/>
    </row>
    <row r="43" spans="1:25" s="6" customFormat="1" x14ac:dyDescent="0.2">
      <c r="A43" s="5" t="s">
        <v>51</v>
      </c>
      <c r="B43" s="5">
        <v>2016</v>
      </c>
      <c r="C43" s="5">
        <v>53</v>
      </c>
      <c r="D43" s="5">
        <f>Table1[[#This Row],[Collection year]]-C43</f>
        <v>1963</v>
      </c>
      <c r="E43" s="5" t="s">
        <v>7</v>
      </c>
      <c r="F43" s="43" t="s">
        <v>136</v>
      </c>
      <c r="G43" s="5" t="s">
        <v>0</v>
      </c>
      <c r="H43" s="8">
        <v>1.9354839999999999E-3</v>
      </c>
      <c r="I43" s="5"/>
      <c r="J43" s="5"/>
      <c r="K43" s="97"/>
      <c r="L43" s="54"/>
      <c r="M43" s="66"/>
      <c r="N43" s="54"/>
      <c r="O43" s="55"/>
      <c r="P43" s="55"/>
      <c r="Q43" s="53"/>
      <c r="R43" s="65"/>
      <c r="S43" s="97"/>
      <c r="T43" s="52"/>
      <c r="U43" s="53"/>
      <c r="V43" s="82"/>
      <c r="W43" s="83"/>
      <c r="X43" s="52"/>
      <c r="Y43" s="66"/>
    </row>
    <row r="44" spans="1:25" s="6" customFormat="1" x14ac:dyDescent="0.2">
      <c r="A44" s="5" t="s">
        <v>52</v>
      </c>
      <c r="B44" s="5">
        <v>2016</v>
      </c>
      <c r="C44" s="5">
        <v>65</v>
      </c>
      <c r="D44" s="5">
        <f>Table1[[#This Row],[Collection year]]-C44</f>
        <v>1951</v>
      </c>
      <c r="E44" s="5" t="s">
        <v>7</v>
      </c>
      <c r="F44" s="43" t="s">
        <v>136</v>
      </c>
      <c r="G44" s="5" t="s">
        <v>0</v>
      </c>
      <c r="H44" s="8">
        <v>2.3240564999999999E-3</v>
      </c>
      <c r="I44" s="5"/>
      <c r="J44" s="5"/>
      <c r="K44" s="97"/>
      <c r="L44" s="54"/>
      <c r="M44" s="66"/>
      <c r="N44" s="54"/>
      <c r="O44" s="55"/>
      <c r="P44" s="55"/>
      <c r="Q44" s="53"/>
      <c r="R44" s="65"/>
      <c r="S44" s="97"/>
      <c r="T44" s="52" t="s">
        <v>0</v>
      </c>
      <c r="U44" s="55"/>
      <c r="V44" s="82"/>
      <c r="W44" s="83"/>
      <c r="X44" s="52"/>
      <c r="Y44" s="66"/>
    </row>
    <row r="45" spans="1:25" s="22" customFormat="1" x14ac:dyDescent="0.2">
      <c r="A45" s="22" t="s">
        <v>53</v>
      </c>
      <c r="B45" s="22">
        <v>2016</v>
      </c>
      <c r="C45" s="22">
        <v>20</v>
      </c>
      <c r="D45" s="22">
        <f>Table1[[#This Row],[Collection year]]-C45</f>
        <v>1996</v>
      </c>
      <c r="E45" s="22" t="s">
        <v>5</v>
      </c>
      <c r="F45" s="41" t="s">
        <v>127</v>
      </c>
      <c r="G45" s="22" t="s">
        <v>0</v>
      </c>
      <c r="H45" s="23" t="s">
        <v>4</v>
      </c>
      <c r="K45" s="96"/>
      <c r="L45" s="50"/>
      <c r="M45" s="64"/>
      <c r="N45" s="50"/>
      <c r="O45" s="51"/>
      <c r="P45" s="51"/>
      <c r="Q45" s="51"/>
      <c r="R45" s="64"/>
      <c r="S45" s="96"/>
      <c r="T45" s="50"/>
      <c r="U45" s="51" t="s">
        <v>0</v>
      </c>
      <c r="V45" s="80"/>
      <c r="W45" s="81"/>
      <c r="X45" s="50" t="s">
        <v>0</v>
      </c>
      <c r="Y45" s="64"/>
    </row>
    <row r="46" spans="1:25" s="6" customFormat="1" x14ac:dyDescent="0.2">
      <c r="A46" s="5" t="s">
        <v>54</v>
      </c>
      <c r="B46" s="5">
        <v>2016</v>
      </c>
      <c r="C46" s="5">
        <v>60</v>
      </c>
      <c r="D46" s="5">
        <f>Table1[[#This Row],[Collection year]]-C46</f>
        <v>1956</v>
      </c>
      <c r="E46" s="5" t="s">
        <v>5</v>
      </c>
      <c r="F46" s="42" t="s">
        <v>124</v>
      </c>
      <c r="G46" s="5" t="s">
        <v>0</v>
      </c>
      <c r="H46" s="8">
        <v>7.1568029999999998E-3</v>
      </c>
      <c r="I46" s="5"/>
      <c r="J46" s="5"/>
      <c r="K46" s="97"/>
      <c r="L46" s="54"/>
      <c r="M46" s="66"/>
      <c r="N46" s="54"/>
      <c r="O46" s="55"/>
      <c r="P46" s="55"/>
      <c r="Q46" s="55"/>
      <c r="R46" s="66"/>
      <c r="S46" s="97"/>
      <c r="T46" s="54"/>
      <c r="U46" s="53"/>
      <c r="V46" s="82"/>
      <c r="W46" s="83"/>
      <c r="X46" s="52"/>
      <c r="Y46" s="66"/>
    </row>
    <row r="47" spans="1:25" s="22" customFormat="1" x14ac:dyDescent="0.2">
      <c r="A47" s="22" t="s">
        <v>55</v>
      </c>
      <c r="B47" s="22">
        <v>2016</v>
      </c>
      <c r="C47" s="22">
        <v>24</v>
      </c>
      <c r="D47" s="24">
        <f>Table1[[#This Row],[Collection year]]-C47</f>
        <v>1992</v>
      </c>
      <c r="E47" s="22" t="s">
        <v>7</v>
      </c>
      <c r="F47" s="41" t="s">
        <v>127</v>
      </c>
      <c r="G47" s="22" t="s">
        <v>0</v>
      </c>
      <c r="H47" s="23" t="s">
        <v>4</v>
      </c>
      <c r="K47" s="96"/>
      <c r="L47" s="50"/>
      <c r="M47" s="64"/>
      <c r="N47" s="50"/>
      <c r="O47" s="51"/>
      <c r="P47" s="51"/>
      <c r="Q47" s="51"/>
      <c r="R47" s="64"/>
      <c r="S47" s="96"/>
      <c r="T47" s="50"/>
      <c r="U47" s="51"/>
      <c r="V47" s="80"/>
      <c r="W47" s="81"/>
      <c r="X47" s="50"/>
      <c r="Y47" s="64"/>
    </row>
    <row r="48" spans="1:25" s="6" customFormat="1" x14ac:dyDescent="0.2">
      <c r="A48" s="6" t="s">
        <v>56</v>
      </c>
      <c r="B48" s="5">
        <v>2017</v>
      </c>
      <c r="C48" s="5">
        <v>51</v>
      </c>
      <c r="D48" s="5">
        <f>Table1[[#This Row],[Collection year]]-C48</f>
        <v>1966</v>
      </c>
      <c r="E48" s="5" t="s">
        <v>7</v>
      </c>
      <c r="F48" s="43" t="s">
        <v>136</v>
      </c>
      <c r="G48" s="5" t="s">
        <v>0</v>
      </c>
      <c r="H48" s="8">
        <v>3.0000000000000001E-3</v>
      </c>
      <c r="I48" s="5"/>
      <c r="J48" s="5"/>
      <c r="K48" s="97"/>
      <c r="L48" s="52"/>
      <c r="M48" s="65"/>
      <c r="N48" s="52"/>
      <c r="O48" s="53"/>
      <c r="P48" s="53"/>
      <c r="Q48" s="55"/>
      <c r="R48" s="66"/>
      <c r="S48" s="97"/>
      <c r="T48" s="54"/>
      <c r="U48" s="55"/>
      <c r="V48" s="84" t="s">
        <v>148</v>
      </c>
      <c r="W48" s="83"/>
      <c r="X48" s="54"/>
      <c r="Y48" s="66"/>
    </row>
    <row r="49" spans="1:25" s="6" customFormat="1" x14ac:dyDescent="0.2">
      <c r="A49" s="6" t="s">
        <v>57</v>
      </c>
      <c r="B49" s="5">
        <v>2017</v>
      </c>
      <c r="C49" s="5">
        <v>57</v>
      </c>
      <c r="D49" s="5">
        <f>Table1[[#This Row],[Collection year]]-C49</f>
        <v>1960</v>
      </c>
      <c r="E49" s="5" t="s">
        <v>5</v>
      </c>
      <c r="F49" s="42" t="s">
        <v>124</v>
      </c>
      <c r="G49" s="5" t="s">
        <v>0</v>
      </c>
      <c r="H49" s="8">
        <v>1.2E-2</v>
      </c>
      <c r="I49" s="5" t="s">
        <v>0</v>
      </c>
      <c r="J49" s="5" t="s">
        <v>0</v>
      </c>
      <c r="K49" s="98" t="s">
        <v>0</v>
      </c>
      <c r="L49" s="52" t="s">
        <v>0</v>
      </c>
      <c r="M49" s="65"/>
      <c r="N49" s="54"/>
      <c r="O49" s="55"/>
      <c r="P49" s="55"/>
      <c r="Q49" s="55"/>
      <c r="R49" s="66"/>
      <c r="S49" s="97"/>
      <c r="T49" s="54"/>
      <c r="U49" s="55"/>
      <c r="V49" s="84" t="s">
        <v>147</v>
      </c>
      <c r="W49" s="83"/>
      <c r="X49" s="52" t="s">
        <v>0</v>
      </c>
      <c r="Y49" s="65" t="s">
        <v>0</v>
      </c>
    </row>
    <row r="50" spans="1:25" s="22" customFormat="1" x14ac:dyDescent="0.2">
      <c r="A50" s="22" t="s">
        <v>58</v>
      </c>
      <c r="B50" s="22">
        <v>2017</v>
      </c>
      <c r="C50" s="22">
        <v>34</v>
      </c>
      <c r="D50" s="22">
        <f>Table1[[#This Row],[Collection year]]-C50</f>
        <v>1983</v>
      </c>
      <c r="E50" s="22" t="s">
        <v>7</v>
      </c>
      <c r="F50" s="41" t="s">
        <v>127</v>
      </c>
      <c r="G50" s="22" t="s">
        <v>0</v>
      </c>
      <c r="H50" s="23" t="s">
        <v>4</v>
      </c>
      <c r="K50" s="96"/>
      <c r="L50" s="50" t="s">
        <v>0</v>
      </c>
      <c r="M50" s="64"/>
      <c r="N50" s="50"/>
      <c r="O50" s="51"/>
      <c r="P50" s="51"/>
      <c r="Q50" s="51"/>
      <c r="R50" s="64"/>
      <c r="S50" s="96"/>
      <c r="T50" s="50"/>
      <c r="U50" s="51"/>
      <c r="V50" s="80"/>
      <c r="W50" s="81"/>
      <c r="X50" s="50" t="s">
        <v>0</v>
      </c>
      <c r="Y50" s="64"/>
    </row>
    <row r="51" spans="1:25" s="6" customFormat="1" x14ac:dyDescent="0.2">
      <c r="A51" s="6" t="s">
        <v>59</v>
      </c>
      <c r="B51" s="5">
        <v>2017</v>
      </c>
      <c r="C51" s="5">
        <v>51</v>
      </c>
      <c r="D51" s="5">
        <f>Table1[[#This Row],[Collection year]]-C51</f>
        <v>1966</v>
      </c>
      <c r="E51" s="5" t="s">
        <v>7</v>
      </c>
      <c r="F51" s="42" t="s">
        <v>135</v>
      </c>
      <c r="G51" s="5" t="s">
        <v>0</v>
      </c>
      <c r="H51" s="8" t="s">
        <v>4</v>
      </c>
      <c r="I51" s="5"/>
      <c r="J51" s="5"/>
      <c r="K51" s="97"/>
      <c r="L51" s="54"/>
      <c r="M51" s="66"/>
      <c r="N51" s="54"/>
      <c r="O51" s="55"/>
      <c r="P51" s="55"/>
      <c r="Q51" s="55"/>
      <c r="R51" s="66"/>
      <c r="S51" s="97"/>
      <c r="T51" s="52" t="s">
        <v>0</v>
      </c>
      <c r="U51" s="55"/>
      <c r="V51" s="82"/>
      <c r="W51" s="83"/>
      <c r="X51" s="54"/>
      <c r="Y51" s="66"/>
    </row>
    <row r="52" spans="1:25" s="6" customFormat="1" x14ac:dyDescent="0.2">
      <c r="A52" s="6" t="s">
        <v>60</v>
      </c>
      <c r="B52" s="5">
        <v>2018</v>
      </c>
      <c r="C52" s="5">
        <v>62</v>
      </c>
      <c r="D52" s="5">
        <f>Table1[[#This Row],[Collection year]]-C52</f>
        <v>1956</v>
      </c>
      <c r="E52" s="5" t="s">
        <v>5</v>
      </c>
      <c r="F52" s="42" t="s">
        <v>131</v>
      </c>
      <c r="G52" s="5" t="s">
        <v>0</v>
      </c>
      <c r="H52" s="8">
        <v>9.9482579999999998E-3</v>
      </c>
      <c r="I52" s="5"/>
      <c r="J52" s="5"/>
      <c r="K52" s="97"/>
      <c r="L52" s="54"/>
      <c r="M52" s="66"/>
      <c r="N52" s="54"/>
      <c r="O52" s="55"/>
      <c r="P52" s="55"/>
      <c r="Q52" s="55"/>
      <c r="R52" s="66"/>
      <c r="S52" s="97"/>
      <c r="T52" s="54"/>
      <c r="U52" s="55"/>
      <c r="V52" s="82"/>
      <c r="W52" s="83"/>
      <c r="X52" s="52" t="s">
        <v>0</v>
      </c>
      <c r="Y52" s="65" t="s">
        <v>0</v>
      </c>
    </row>
    <row r="53" spans="1:25" s="6" customFormat="1" x14ac:dyDescent="0.2">
      <c r="A53" s="6" t="s">
        <v>61</v>
      </c>
      <c r="B53" s="5">
        <v>2018</v>
      </c>
      <c r="C53" s="5">
        <v>61</v>
      </c>
      <c r="D53" s="5">
        <f>Table1[[#This Row],[Collection year]]-C53</f>
        <v>1957</v>
      </c>
      <c r="E53" s="5" t="s">
        <v>5</v>
      </c>
      <c r="F53" s="42" t="s">
        <v>127</v>
      </c>
      <c r="G53" s="5" t="s">
        <v>0</v>
      </c>
      <c r="H53" s="8">
        <v>1.273469E-2</v>
      </c>
      <c r="I53" s="5"/>
      <c r="J53" s="5"/>
      <c r="K53" s="97"/>
      <c r="L53" s="54"/>
      <c r="M53" s="66"/>
      <c r="N53" s="54"/>
      <c r="O53" s="55"/>
      <c r="P53" s="55"/>
      <c r="Q53" s="55"/>
      <c r="R53" s="66"/>
      <c r="S53" s="97"/>
      <c r="T53" s="54"/>
      <c r="U53" s="55"/>
      <c r="V53" s="82"/>
      <c r="W53" s="83"/>
      <c r="X53" s="54"/>
      <c r="Y53" s="66"/>
    </row>
    <row r="54" spans="1:25" s="6" customFormat="1" x14ac:dyDescent="0.2">
      <c r="A54" s="6" t="s">
        <v>62</v>
      </c>
      <c r="B54" s="5">
        <v>2018</v>
      </c>
      <c r="C54" s="5">
        <v>64</v>
      </c>
      <c r="D54" s="5">
        <f>Table1[[#This Row],[Collection year]]-C54</f>
        <v>1954</v>
      </c>
      <c r="E54" s="5" t="s">
        <v>5</v>
      </c>
      <c r="F54" s="42" t="s">
        <v>129</v>
      </c>
      <c r="G54" s="5" t="s">
        <v>0</v>
      </c>
      <c r="H54" s="8">
        <v>6.3296699999999999E-3</v>
      </c>
      <c r="I54" s="5"/>
      <c r="J54" s="5"/>
      <c r="K54" s="97"/>
      <c r="L54" s="52" t="s">
        <v>0</v>
      </c>
      <c r="M54" s="66"/>
      <c r="N54" s="54"/>
      <c r="O54" s="55"/>
      <c r="P54" s="55"/>
      <c r="Q54" s="55"/>
      <c r="R54" s="66"/>
      <c r="S54" s="98" t="s">
        <v>0</v>
      </c>
      <c r="T54" s="54"/>
      <c r="U54" s="55"/>
      <c r="V54" s="82"/>
      <c r="W54" s="79" t="s">
        <v>147</v>
      </c>
      <c r="X54" s="52"/>
      <c r="Y54" s="66"/>
    </row>
    <row r="55" spans="1:25" s="6" customFormat="1" x14ac:dyDescent="0.2">
      <c r="A55" s="6" t="s">
        <v>63</v>
      </c>
      <c r="B55" s="5">
        <v>2018</v>
      </c>
      <c r="C55" s="5">
        <v>62</v>
      </c>
      <c r="D55" s="5">
        <f>Table1[[#This Row],[Collection year]]-C55</f>
        <v>1956</v>
      </c>
      <c r="E55" s="5" t="s">
        <v>5</v>
      </c>
      <c r="F55" s="42" t="s">
        <v>129</v>
      </c>
      <c r="G55" s="5" t="s">
        <v>0</v>
      </c>
      <c r="H55" s="8">
        <v>1.6000000000000001E-3</v>
      </c>
      <c r="I55" s="5"/>
      <c r="J55" s="5"/>
      <c r="K55" s="97"/>
      <c r="L55" s="54"/>
      <c r="M55" s="66"/>
      <c r="N55" s="54"/>
      <c r="O55" s="55"/>
      <c r="P55" s="55"/>
      <c r="Q55" s="55"/>
      <c r="R55" s="66"/>
      <c r="S55" s="98" t="s">
        <v>0</v>
      </c>
      <c r="T55" s="54"/>
      <c r="U55" s="55"/>
      <c r="V55" s="82"/>
      <c r="W55" s="79" t="s">
        <v>148</v>
      </c>
      <c r="X55" s="54"/>
      <c r="Y55" s="66"/>
    </row>
    <row r="56" spans="1:25" s="6" customFormat="1" x14ac:dyDescent="0.2">
      <c r="A56" s="6" t="s">
        <v>64</v>
      </c>
      <c r="B56" s="5">
        <v>2018</v>
      </c>
      <c r="C56" s="5">
        <v>72</v>
      </c>
      <c r="D56" s="5">
        <f>Table1[[#This Row],[Collection year]]-C56</f>
        <v>1946</v>
      </c>
      <c r="E56" s="5" t="s">
        <v>7</v>
      </c>
      <c r="F56" s="42" t="s">
        <v>126</v>
      </c>
      <c r="G56" s="5" t="s">
        <v>0</v>
      </c>
      <c r="H56" s="8">
        <v>2.9793100000000002E-3</v>
      </c>
      <c r="I56" s="5"/>
      <c r="J56" s="5"/>
      <c r="K56" s="97"/>
      <c r="L56" s="52" t="s">
        <v>0</v>
      </c>
      <c r="M56" s="65"/>
      <c r="N56" s="54"/>
      <c r="O56" s="55"/>
      <c r="P56" s="55"/>
      <c r="Q56" s="55"/>
      <c r="R56" s="66"/>
      <c r="S56" s="97"/>
      <c r="T56" s="54"/>
      <c r="U56" s="55"/>
      <c r="V56" s="82"/>
      <c r="W56" s="83"/>
      <c r="X56" s="52" t="s">
        <v>0</v>
      </c>
      <c r="Y56" s="66"/>
    </row>
    <row r="57" spans="1:25" s="6" customFormat="1" x14ac:dyDescent="0.2">
      <c r="A57" s="6" t="s">
        <v>65</v>
      </c>
      <c r="B57" s="5">
        <v>2018</v>
      </c>
      <c r="C57" s="5">
        <v>83</v>
      </c>
      <c r="D57" s="5">
        <f>Table1[[#This Row],[Collection year]]-C57</f>
        <v>1935</v>
      </c>
      <c r="E57" s="5" t="s">
        <v>5</v>
      </c>
      <c r="F57" s="42" t="s">
        <v>124</v>
      </c>
      <c r="G57" s="5" t="s">
        <v>0</v>
      </c>
      <c r="H57" s="8">
        <v>1.6338889999999998E-2</v>
      </c>
      <c r="I57" s="5"/>
      <c r="J57" s="5"/>
      <c r="K57" s="97"/>
      <c r="L57" s="54"/>
      <c r="M57" s="66"/>
      <c r="N57" s="54"/>
      <c r="O57" s="55"/>
      <c r="P57" s="55"/>
      <c r="Q57" s="55"/>
      <c r="R57" s="66"/>
      <c r="S57" s="97"/>
      <c r="T57" s="54"/>
      <c r="U57" s="55"/>
      <c r="V57" s="82"/>
      <c r="W57" s="83"/>
      <c r="X57" s="52" t="s">
        <v>0</v>
      </c>
      <c r="Y57" s="65" t="s">
        <v>0</v>
      </c>
    </row>
    <row r="58" spans="1:25" s="22" customFormat="1" x14ac:dyDescent="0.2">
      <c r="A58" s="22" t="s">
        <v>66</v>
      </c>
      <c r="B58" s="22">
        <v>2018</v>
      </c>
      <c r="C58" s="22">
        <v>28</v>
      </c>
      <c r="D58" s="22">
        <f>Table1[[#This Row],[Collection year]]-C58</f>
        <v>1990</v>
      </c>
      <c r="E58" s="22" t="s">
        <v>7</v>
      </c>
      <c r="F58" s="41" t="s">
        <v>130</v>
      </c>
      <c r="G58" s="22" t="s">
        <v>0</v>
      </c>
      <c r="H58" s="23" t="s">
        <v>4</v>
      </c>
      <c r="K58" s="96"/>
      <c r="L58" s="50"/>
      <c r="M58" s="64"/>
      <c r="N58" s="50"/>
      <c r="O58" s="51"/>
      <c r="P58" s="51"/>
      <c r="Q58" s="51"/>
      <c r="R58" s="64"/>
      <c r="S58" s="96"/>
      <c r="T58" s="50"/>
      <c r="U58" s="51"/>
      <c r="V58" s="80"/>
      <c r="W58" s="81"/>
      <c r="X58" s="50" t="s">
        <v>0</v>
      </c>
      <c r="Y58" s="64"/>
    </row>
    <row r="59" spans="1:25" s="6" customFormat="1" x14ac:dyDescent="0.2">
      <c r="A59" s="6" t="s">
        <v>67</v>
      </c>
      <c r="B59" s="5">
        <v>2018</v>
      </c>
      <c r="C59" s="5">
        <v>69</v>
      </c>
      <c r="D59" s="5">
        <f>Table1[[#This Row],[Collection year]]-C59</f>
        <v>1949</v>
      </c>
      <c r="E59" s="5" t="s">
        <v>5</v>
      </c>
      <c r="F59" s="42" t="s">
        <v>124</v>
      </c>
      <c r="G59" s="5" t="s">
        <v>0</v>
      </c>
      <c r="H59" s="8">
        <v>5.2571774999999998E-3</v>
      </c>
      <c r="I59" s="5"/>
      <c r="J59" s="5"/>
      <c r="K59" s="97"/>
      <c r="L59" s="54"/>
      <c r="M59" s="66"/>
      <c r="N59" s="54"/>
      <c r="O59" s="55"/>
      <c r="P59" s="55"/>
      <c r="Q59" s="55"/>
      <c r="R59" s="66"/>
      <c r="S59" s="97"/>
      <c r="T59" s="54"/>
      <c r="U59" s="55"/>
      <c r="V59" s="82"/>
      <c r="W59" s="83"/>
      <c r="X59" s="54"/>
      <c r="Y59" s="66"/>
    </row>
    <row r="60" spans="1:25" s="6" customFormat="1" x14ac:dyDescent="0.2">
      <c r="A60" s="6" t="s">
        <v>68</v>
      </c>
      <c r="B60" s="5">
        <v>2018</v>
      </c>
      <c r="C60" s="5">
        <v>61</v>
      </c>
      <c r="D60" s="5">
        <f>Table1[[#This Row],[Collection year]]-C60</f>
        <v>1957</v>
      </c>
      <c r="E60" s="5" t="s">
        <v>5</v>
      </c>
      <c r="F60" s="42" t="s">
        <v>132</v>
      </c>
      <c r="G60" s="5" t="s">
        <v>0</v>
      </c>
      <c r="H60" s="8">
        <v>5.2871759999999997E-2</v>
      </c>
      <c r="I60" s="5"/>
      <c r="J60" s="5"/>
      <c r="K60" s="97"/>
      <c r="L60" s="54"/>
      <c r="M60" s="66"/>
      <c r="N60" s="54"/>
      <c r="O60" s="55"/>
      <c r="P60" s="55"/>
      <c r="Q60" s="55"/>
      <c r="R60" s="66"/>
      <c r="S60" s="97"/>
      <c r="T60" s="54"/>
      <c r="U60" s="55"/>
      <c r="V60" s="82"/>
      <c r="W60" s="83"/>
      <c r="X60" s="54"/>
      <c r="Y60" s="66"/>
    </row>
    <row r="61" spans="1:25" s="6" customFormat="1" x14ac:dyDescent="0.2">
      <c r="A61" s="6" t="s">
        <v>69</v>
      </c>
      <c r="B61" s="5">
        <v>2018</v>
      </c>
      <c r="C61" s="5">
        <v>57</v>
      </c>
      <c r="D61" s="5">
        <f>Table1[[#This Row],[Collection year]]-C61</f>
        <v>1961</v>
      </c>
      <c r="E61" s="5" t="s">
        <v>5</v>
      </c>
      <c r="F61" s="42" t="s">
        <v>133</v>
      </c>
      <c r="G61" s="5" t="s">
        <v>0</v>
      </c>
      <c r="H61" s="8">
        <v>9.0731709999999997E-3</v>
      </c>
      <c r="I61" s="5"/>
      <c r="J61" s="5"/>
      <c r="K61" s="97"/>
      <c r="L61" s="54"/>
      <c r="M61" s="66"/>
      <c r="N61" s="54"/>
      <c r="O61" s="55"/>
      <c r="P61" s="55"/>
      <c r="Q61" s="55"/>
      <c r="R61" s="66"/>
      <c r="S61" s="97"/>
      <c r="T61" s="54"/>
      <c r="U61" s="55"/>
      <c r="V61" s="82"/>
      <c r="W61" s="83"/>
      <c r="X61" s="54"/>
      <c r="Y61" s="66"/>
    </row>
    <row r="62" spans="1:25" s="6" customFormat="1" x14ac:dyDescent="0.2">
      <c r="A62" s="6" t="s">
        <v>70</v>
      </c>
      <c r="B62" s="5">
        <v>2018</v>
      </c>
      <c r="C62" s="5">
        <v>90</v>
      </c>
      <c r="D62" s="5">
        <f>Table1[[#This Row],[Collection year]]-C62</f>
        <v>1928</v>
      </c>
      <c r="E62" s="5" t="s">
        <v>7</v>
      </c>
      <c r="F62" s="42" t="s">
        <v>124</v>
      </c>
      <c r="G62" s="5" t="s">
        <v>0</v>
      </c>
      <c r="H62" s="8" t="s">
        <v>4</v>
      </c>
      <c r="I62" s="5"/>
      <c r="J62" s="5"/>
      <c r="K62" s="97"/>
      <c r="L62" s="54"/>
      <c r="M62" s="66"/>
      <c r="N62" s="54"/>
      <c r="O62" s="55"/>
      <c r="P62" s="55"/>
      <c r="Q62" s="55"/>
      <c r="R62" s="66"/>
      <c r="S62" s="97"/>
      <c r="T62" s="54"/>
      <c r="U62" s="55"/>
      <c r="V62" s="82"/>
      <c r="W62" s="83"/>
      <c r="X62" s="54"/>
      <c r="Y62" s="66"/>
    </row>
    <row r="63" spans="1:25" s="6" customFormat="1" x14ac:dyDescent="0.2">
      <c r="A63" s="6" t="s">
        <v>71</v>
      </c>
      <c r="B63" s="5">
        <v>2018</v>
      </c>
      <c r="C63" s="5">
        <v>68</v>
      </c>
      <c r="D63" s="5">
        <f>Table1[[#This Row],[Collection year]]-C63</f>
        <v>1950</v>
      </c>
      <c r="E63" s="5" t="s">
        <v>5</v>
      </c>
      <c r="F63" s="42" t="s">
        <v>124</v>
      </c>
      <c r="G63" s="5" t="s">
        <v>0</v>
      </c>
      <c r="H63" s="8" t="s">
        <v>4</v>
      </c>
      <c r="I63" s="5"/>
      <c r="J63" s="5"/>
      <c r="K63" s="97"/>
      <c r="L63" s="52" t="s">
        <v>0</v>
      </c>
      <c r="M63" s="65"/>
      <c r="N63" s="54"/>
      <c r="O63" s="55"/>
      <c r="P63" s="55"/>
      <c r="Q63" s="55"/>
      <c r="R63" s="66"/>
      <c r="S63" s="98"/>
      <c r="T63" s="54"/>
      <c r="U63" s="55"/>
      <c r="V63" s="82"/>
      <c r="W63" s="79" t="s">
        <v>147</v>
      </c>
      <c r="X63" s="52" t="s">
        <v>0</v>
      </c>
      <c r="Y63" s="66"/>
    </row>
    <row r="64" spans="1:25" s="6" customFormat="1" x14ac:dyDescent="0.2">
      <c r="A64" s="6" t="s">
        <v>72</v>
      </c>
      <c r="B64" s="5">
        <v>2018</v>
      </c>
      <c r="C64" s="5">
        <v>71</v>
      </c>
      <c r="D64" s="5">
        <f>Table1[[#This Row],[Collection year]]-C64</f>
        <v>1947</v>
      </c>
      <c r="E64" s="5" t="s">
        <v>7</v>
      </c>
      <c r="F64" s="42" t="s">
        <v>124</v>
      </c>
      <c r="G64" s="5" t="s">
        <v>0</v>
      </c>
      <c r="H64" s="8">
        <v>3.3842540000000002E-3</v>
      </c>
      <c r="I64" s="5"/>
      <c r="J64" s="5"/>
      <c r="K64" s="97"/>
      <c r="L64" s="52" t="s">
        <v>0</v>
      </c>
      <c r="M64" s="65"/>
      <c r="N64" s="54"/>
      <c r="O64" s="55"/>
      <c r="P64" s="55"/>
      <c r="Q64" s="55"/>
      <c r="R64" s="66"/>
      <c r="S64" s="97"/>
      <c r="T64" s="54"/>
      <c r="U64" s="55"/>
      <c r="V64" s="82"/>
      <c r="W64" s="83"/>
      <c r="X64" s="54"/>
      <c r="Y64" s="66"/>
    </row>
    <row r="65" spans="1:25" s="22" customFormat="1" x14ac:dyDescent="0.2">
      <c r="A65" s="22" t="s">
        <v>73</v>
      </c>
      <c r="B65" s="22">
        <v>2018</v>
      </c>
      <c r="C65" s="22">
        <v>41</v>
      </c>
      <c r="D65" s="22">
        <f>Table1[[#This Row],[Collection year]]-C65</f>
        <v>1977</v>
      </c>
      <c r="E65" s="22" t="s">
        <v>7</v>
      </c>
      <c r="F65" s="41" t="s">
        <v>124</v>
      </c>
      <c r="G65" s="22" t="s">
        <v>0</v>
      </c>
      <c r="H65" s="23" t="s">
        <v>4</v>
      </c>
      <c r="K65" s="96"/>
      <c r="L65" s="50" t="s">
        <v>0</v>
      </c>
      <c r="M65" s="64"/>
      <c r="N65" s="50"/>
      <c r="O65" s="51"/>
      <c r="P65" s="51"/>
      <c r="Q65" s="51" t="s">
        <v>0</v>
      </c>
      <c r="R65" s="64"/>
      <c r="S65" s="96"/>
      <c r="T65" s="50"/>
      <c r="U65" s="51" t="s">
        <v>0</v>
      </c>
      <c r="V65" s="80"/>
      <c r="W65" s="81"/>
      <c r="X65" s="50" t="s">
        <v>0</v>
      </c>
      <c r="Y65" s="64"/>
    </row>
    <row r="66" spans="1:25" s="6" customFormat="1" x14ac:dyDescent="0.2">
      <c r="A66" s="6" t="s">
        <v>74</v>
      </c>
      <c r="B66" s="5">
        <v>2018</v>
      </c>
      <c r="C66" s="5">
        <v>65</v>
      </c>
      <c r="D66" s="5">
        <f>Table1[[#This Row],[Collection year]]-C66</f>
        <v>1953</v>
      </c>
      <c r="E66" s="5" t="s">
        <v>7</v>
      </c>
      <c r="F66" s="42" t="s">
        <v>124</v>
      </c>
      <c r="G66" s="5" t="s">
        <v>0</v>
      </c>
      <c r="H66" s="8">
        <v>8.0698003333333299E-3</v>
      </c>
      <c r="I66" s="5" t="s">
        <v>0</v>
      </c>
      <c r="J66" s="5"/>
      <c r="K66" s="97"/>
      <c r="L66" s="52" t="s">
        <v>0</v>
      </c>
      <c r="M66" s="65"/>
      <c r="N66" s="54"/>
      <c r="O66" s="55"/>
      <c r="P66" s="55"/>
      <c r="Q66" s="55"/>
      <c r="R66" s="66"/>
      <c r="S66" s="97"/>
      <c r="T66" s="54"/>
      <c r="U66" s="55"/>
      <c r="V66" s="82"/>
      <c r="W66" s="83"/>
      <c r="X66" s="52" t="s">
        <v>0</v>
      </c>
      <c r="Y66" s="65" t="s">
        <v>0</v>
      </c>
    </row>
    <row r="67" spans="1:25" s="6" customFormat="1" x14ac:dyDescent="0.2">
      <c r="A67" s="6" t="s">
        <v>75</v>
      </c>
      <c r="B67" s="5">
        <v>2018</v>
      </c>
      <c r="C67" s="5">
        <v>59</v>
      </c>
      <c r="D67" s="5">
        <f>Table1[[#This Row],[Collection year]]-C67</f>
        <v>1959</v>
      </c>
      <c r="E67" s="5" t="s">
        <v>7</v>
      </c>
      <c r="F67" s="42" t="s">
        <v>124</v>
      </c>
      <c r="G67" s="5" t="s">
        <v>0</v>
      </c>
      <c r="H67" s="8" t="s">
        <v>4</v>
      </c>
      <c r="I67" s="5"/>
      <c r="J67" s="5"/>
      <c r="K67" s="97"/>
      <c r="L67" s="52" t="s">
        <v>0</v>
      </c>
      <c r="M67" s="65"/>
      <c r="N67" s="54"/>
      <c r="O67" s="55"/>
      <c r="P67" s="55"/>
      <c r="Q67" s="55"/>
      <c r="R67" s="66"/>
      <c r="S67" s="98" t="s">
        <v>0</v>
      </c>
      <c r="T67" s="54"/>
      <c r="U67" s="55"/>
      <c r="V67" s="82"/>
      <c r="W67" s="79" t="s">
        <v>147</v>
      </c>
      <c r="X67" s="54"/>
      <c r="Y67" s="66"/>
    </row>
    <row r="68" spans="1:25" s="6" customFormat="1" x14ac:dyDescent="0.2">
      <c r="A68" s="6" t="s">
        <v>76</v>
      </c>
      <c r="B68" s="5">
        <v>2018</v>
      </c>
      <c r="C68" s="5">
        <v>70</v>
      </c>
      <c r="D68" s="5">
        <f>Table1[[#This Row],[Collection year]]-C68</f>
        <v>1948</v>
      </c>
      <c r="E68" s="5" t="s">
        <v>5</v>
      </c>
      <c r="F68" s="42" t="s">
        <v>124</v>
      </c>
      <c r="G68" s="5" t="s">
        <v>0</v>
      </c>
      <c r="H68" s="8">
        <v>1.1137754999999999E-2</v>
      </c>
      <c r="I68" s="5"/>
      <c r="J68" s="5"/>
      <c r="K68" s="97"/>
      <c r="L68" s="54"/>
      <c r="M68" s="66"/>
      <c r="N68" s="54"/>
      <c r="O68" s="55"/>
      <c r="P68" s="55"/>
      <c r="Q68" s="55"/>
      <c r="R68" s="66"/>
      <c r="S68" s="97"/>
      <c r="T68" s="54"/>
      <c r="U68" s="55"/>
      <c r="V68" s="82"/>
      <c r="W68" s="83"/>
      <c r="X68" s="54"/>
      <c r="Y68" s="66"/>
    </row>
    <row r="69" spans="1:25" s="6" customFormat="1" x14ac:dyDescent="0.2">
      <c r="A69" s="6" t="s">
        <v>77</v>
      </c>
      <c r="B69" s="5">
        <v>2018</v>
      </c>
      <c r="C69" s="5">
        <v>64</v>
      </c>
      <c r="D69" s="5">
        <f>Table1[[#This Row],[Collection year]]-C69</f>
        <v>1954</v>
      </c>
      <c r="E69" s="5" t="s">
        <v>5</v>
      </c>
      <c r="F69" s="42" t="s">
        <v>124</v>
      </c>
      <c r="G69" s="5" t="s">
        <v>0</v>
      </c>
      <c r="H69" s="8">
        <v>2.1176469999999999E-2</v>
      </c>
      <c r="I69" s="5"/>
      <c r="J69" s="5"/>
      <c r="K69" s="97"/>
      <c r="L69" s="54"/>
      <c r="M69" s="66"/>
      <c r="N69" s="54"/>
      <c r="O69" s="55"/>
      <c r="P69" s="55"/>
      <c r="Q69" s="55"/>
      <c r="R69" s="66"/>
      <c r="S69" s="97"/>
      <c r="T69" s="54"/>
      <c r="U69" s="55"/>
      <c r="V69" s="82"/>
      <c r="W69" s="83"/>
      <c r="X69" s="54"/>
      <c r="Y69" s="66"/>
    </row>
    <row r="70" spans="1:25" s="6" customFormat="1" x14ac:dyDescent="0.2">
      <c r="A70" s="6" t="s">
        <v>78</v>
      </c>
      <c r="B70" s="5">
        <v>2019</v>
      </c>
      <c r="C70" s="5">
        <v>62</v>
      </c>
      <c r="D70" s="5">
        <f>Table1[[#This Row],[Collection year]]-C70</f>
        <v>1957</v>
      </c>
      <c r="E70" s="5" t="s">
        <v>5</v>
      </c>
      <c r="F70" s="42" t="s">
        <v>124</v>
      </c>
      <c r="G70" s="5" t="s">
        <v>0</v>
      </c>
      <c r="H70" s="8" t="s">
        <v>4</v>
      </c>
      <c r="I70" s="5"/>
      <c r="J70" s="5"/>
      <c r="K70" s="97"/>
      <c r="L70" s="52" t="s">
        <v>0</v>
      </c>
      <c r="M70" s="65"/>
      <c r="N70" s="54"/>
      <c r="O70" s="55"/>
      <c r="P70" s="55"/>
      <c r="Q70" s="55"/>
      <c r="R70" s="66"/>
      <c r="S70" s="98" t="s">
        <v>0</v>
      </c>
      <c r="T70" s="54"/>
      <c r="U70" s="55"/>
      <c r="V70" s="82"/>
      <c r="W70" s="79" t="s">
        <v>147</v>
      </c>
      <c r="X70" s="52" t="s">
        <v>0</v>
      </c>
      <c r="Y70" s="66"/>
    </row>
    <row r="71" spans="1:25" s="6" customFormat="1" x14ac:dyDescent="0.2">
      <c r="A71" s="6" t="s">
        <v>79</v>
      </c>
      <c r="B71" s="5">
        <v>2019</v>
      </c>
      <c r="C71" s="5">
        <v>86</v>
      </c>
      <c r="D71" s="5">
        <f>Table1[[#This Row],[Collection year]]-C71</f>
        <v>1933</v>
      </c>
      <c r="E71" s="5" t="s">
        <v>7</v>
      </c>
      <c r="F71" s="42" t="s">
        <v>124</v>
      </c>
      <c r="G71" s="5" t="s">
        <v>0</v>
      </c>
      <c r="H71" s="8" t="s">
        <v>4</v>
      </c>
      <c r="I71" s="5"/>
      <c r="J71" s="5"/>
      <c r="K71" s="97"/>
      <c r="L71" s="52" t="s">
        <v>0</v>
      </c>
      <c r="M71" s="65"/>
      <c r="N71" s="54"/>
      <c r="O71" s="55"/>
      <c r="P71" s="55"/>
      <c r="Q71" s="55"/>
      <c r="R71" s="66"/>
      <c r="S71" s="100"/>
      <c r="T71" s="54"/>
      <c r="U71" s="55"/>
      <c r="V71" s="82"/>
      <c r="W71" s="88"/>
      <c r="X71" s="54"/>
      <c r="Y71" s="66"/>
    </row>
    <row r="72" spans="1:25" s="6" customFormat="1" x14ac:dyDescent="0.2">
      <c r="A72" s="6" t="s">
        <v>80</v>
      </c>
      <c r="B72" s="5">
        <v>2019</v>
      </c>
      <c r="C72" s="5">
        <v>59</v>
      </c>
      <c r="D72" s="5">
        <f>Table1[[#This Row],[Collection year]]-C72</f>
        <v>1960</v>
      </c>
      <c r="E72" s="5" t="s">
        <v>7</v>
      </c>
      <c r="F72" s="42" t="s">
        <v>124</v>
      </c>
      <c r="G72" s="5" t="s">
        <v>0</v>
      </c>
      <c r="H72" s="8">
        <v>2.4E-2</v>
      </c>
      <c r="I72" s="5"/>
      <c r="J72" s="5"/>
      <c r="K72" s="97"/>
      <c r="L72" s="54"/>
      <c r="M72" s="66"/>
      <c r="N72" s="54"/>
      <c r="O72" s="55"/>
      <c r="P72" s="55"/>
      <c r="Q72" s="55"/>
      <c r="R72" s="66"/>
      <c r="S72" s="97"/>
      <c r="T72" s="54"/>
      <c r="U72" s="55"/>
      <c r="V72" s="82"/>
      <c r="W72" s="83"/>
      <c r="X72" s="54"/>
      <c r="Y72" s="66"/>
    </row>
    <row r="73" spans="1:25" s="6" customFormat="1" x14ac:dyDescent="0.2">
      <c r="A73" s="6" t="s">
        <v>83</v>
      </c>
      <c r="B73" s="5">
        <v>2019</v>
      </c>
      <c r="C73" s="5">
        <v>60</v>
      </c>
      <c r="D73" s="5">
        <f>Table1[[#This Row],[Collection year]]-C73</f>
        <v>1959</v>
      </c>
      <c r="E73" s="5" t="s">
        <v>5</v>
      </c>
      <c r="F73" s="42" t="s">
        <v>124</v>
      </c>
      <c r="G73" s="5" t="s">
        <v>0</v>
      </c>
      <c r="H73" s="8">
        <v>5.6307689999999999E-3</v>
      </c>
      <c r="I73" s="5"/>
      <c r="J73" s="5"/>
      <c r="K73" s="97"/>
      <c r="L73" s="54"/>
      <c r="M73" s="66"/>
      <c r="N73" s="54"/>
      <c r="O73" s="55"/>
      <c r="P73" s="55"/>
      <c r="Q73" s="55"/>
      <c r="R73" s="66"/>
      <c r="S73" s="97"/>
      <c r="T73" s="54"/>
      <c r="U73" s="55"/>
      <c r="V73" s="82"/>
      <c r="W73" s="83"/>
      <c r="X73" s="54"/>
      <c r="Y73" s="66"/>
    </row>
    <row r="74" spans="1:25" s="6" customFormat="1" x14ac:dyDescent="0.2">
      <c r="A74" s="6" t="s">
        <v>85</v>
      </c>
      <c r="B74" s="5">
        <v>2019</v>
      </c>
      <c r="C74" s="5">
        <v>91</v>
      </c>
      <c r="D74" s="5">
        <f>Table1[[#This Row],[Collection year]]-C74</f>
        <v>1928</v>
      </c>
      <c r="E74" s="5" t="s">
        <v>7</v>
      </c>
      <c r="F74" s="42" t="s">
        <v>124</v>
      </c>
      <c r="G74" s="5" t="s">
        <v>0</v>
      </c>
      <c r="H74" s="8">
        <v>2.2222219999999998E-3</v>
      </c>
      <c r="I74" s="5"/>
      <c r="J74" s="5"/>
      <c r="K74" s="97"/>
      <c r="L74" s="52" t="s">
        <v>0</v>
      </c>
      <c r="M74" s="65" t="s">
        <v>0</v>
      </c>
      <c r="N74" s="54"/>
      <c r="O74" s="55"/>
      <c r="P74" s="55"/>
      <c r="Q74" s="53" t="s">
        <v>0</v>
      </c>
      <c r="R74" s="65" t="s">
        <v>0</v>
      </c>
      <c r="S74" s="98" t="s">
        <v>0</v>
      </c>
      <c r="T74" s="54"/>
      <c r="U74" s="55"/>
      <c r="V74" s="82"/>
      <c r="W74" s="79" t="s">
        <v>147</v>
      </c>
      <c r="X74" s="54"/>
      <c r="Y74" s="66"/>
    </row>
    <row r="75" spans="1:25" s="6" customFormat="1" x14ac:dyDescent="0.2">
      <c r="A75" s="6" t="s">
        <v>86</v>
      </c>
      <c r="B75" s="5">
        <v>2019</v>
      </c>
      <c r="C75" s="5">
        <v>63</v>
      </c>
      <c r="D75" s="5">
        <f>Table1[[#This Row],[Collection year]]-C75</f>
        <v>1956</v>
      </c>
      <c r="E75" s="5" t="s">
        <v>5</v>
      </c>
      <c r="F75" s="42" t="s">
        <v>124</v>
      </c>
      <c r="G75" s="5" t="s">
        <v>0</v>
      </c>
      <c r="H75" s="8">
        <v>5.0375193333333297E-2</v>
      </c>
      <c r="I75" s="5" t="s">
        <v>0</v>
      </c>
      <c r="J75" s="5" t="s">
        <v>0</v>
      </c>
      <c r="K75" s="98" t="s">
        <v>0</v>
      </c>
      <c r="L75" s="52" t="s">
        <v>0</v>
      </c>
      <c r="M75" s="65"/>
      <c r="N75" s="54"/>
      <c r="O75" s="55"/>
      <c r="P75" s="55"/>
      <c r="Q75" s="55"/>
      <c r="R75" s="66"/>
      <c r="S75" s="97"/>
      <c r="T75" s="54"/>
      <c r="U75" s="55"/>
      <c r="V75" s="82"/>
      <c r="W75" s="83"/>
      <c r="X75" s="54"/>
      <c r="Y75" s="66"/>
    </row>
    <row r="76" spans="1:25" s="6" customFormat="1" x14ac:dyDescent="0.2">
      <c r="A76" s="6" t="s">
        <v>87</v>
      </c>
      <c r="B76" s="5">
        <v>2019</v>
      </c>
      <c r="C76" s="5">
        <v>82</v>
      </c>
      <c r="D76" s="5">
        <f>Table1[[#This Row],[Collection year]]-C76</f>
        <v>1937</v>
      </c>
      <c r="E76" s="5" t="s">
        <v>5</v>
      </c>
      <c r="F76" s="42" t="s">
        <v>126</v>
      </c>
      <c r="G76" s="5" t="s">
        <v>0</v>
      </c>
      <c r="H76" s="8">
        <v>7.4209404999999997E-3</v>
      </c>
      <c r="I76" s="5" t="s">
        <v>0</v>
      </c>
      <c r="J76" s="5"/>
      <c r="K76" s="97"/>
      <c r="L76" s="52" t="s">
        <v>0</v>
      </c>
      <c r="M76" s="65"/>
      <c r="N76" s="54"/>
      <c r="O76" s="55"/>
      <c r="P76" s="55"/>
      <c r="Q76" s="53" t="s">
        <v>0</v>
      </c>
      <c r="R76" s="65" t="s">
        <v>0</v>
      </c>
      <c r="S76" s="97"/>
      <c r="T76" s="54"/>
      <c r="U76" s="55"/>
      <c r="V76" s="82"/>
      <c r="W76" s="83"/>
      <c r="X76" s="54"/>
      <c r="Y76" s="66"/>
    </row>
    <row r="77" spans="1:25" s="5" customFormat="1" x14ac:dyDescent="0.2">
      <c r="A77" s="5" t="s">
        <v>88</v>
      </c>
      <c r="B77" s="5">
        <v>2019</v>
      </c>
      <c r="C77" s="5">
        <v>45</v>
      </c>
      <c r="D77" s="5">
        <f>Table1[[#This Row],[Collection year]]-C77</f>
        <v>1974</v>
      </c>
      <c r="E77" s="5" t="s">
        <v>5</v>
      </c>
      <c r="F77" s="42" t="s">
        <v>129</v>
      </c>
      <c r="H77" s="8"/>
      <c r="K77" s="98"/>
      <c r="L77" s="52"/>
      <c r="M77" s="65"/>
      <c r="N77" s="52"/>
      <c r="O77" s="53"/>
      <c r="P77" s="53"/>
      <c r="Q77" s="53"/>
      <c r="R77" s="65"/>
      <c r="S77" s="98"/>
      <c r="T77" s="52"/>
      <c r="U77" s="53"/>
      <c r="V77" s="84"/>
      <c r="W77" s="79"/>
      <c r="X77" s="52" t="s">
        <v>0</v>
      </c>
      <c r="Y77" s="65"/>
    </row>
    <row r="78" spans="1:25" s="6" customFormat="1" x14ac:dyDescent="0.2">
      <c r="A78" s="6" t="s">
        <v>89</v>
      </c>
      <c r="B78" s="5">
        <v>2019</v>
      </c>
      <c r="C78" s="5">
        <v>53</v>
      </c>
      <c r="D78" s="5">
        <f>Table1[[#This Row],[Collection year]]-C78</f>
        <v>1966</v>
      </c>
      <c r="E78" s="5" t="s">
        <v>7</v>
      </c>
      <c r="F78" s="42" t="s">
        <v>124</v>
      </c>
      <c r="G78" s="5" t="s">
        <v>0</v>
      </c>
      <c r="H78" s="8">
        <v>6.081988E-3</v>
      </c>
      <c r="I78" s="5"/>
      <c r="J78" s="5"/>
      <c r="K78" s="97"/>
      <c r="L78" s="52" t="s">
        <v>0</v>
      </c>
      <c r="M78" s="65"/>
      <c r="N78" s="54"/>
      <c r="O78" s="55"/>
      <c r="P78" s="55"/>
      <c r="Q78" s="55"/>
      <c r="R78" s="66"/>
      <c r="S78" s="97"/>
      <c r="T78" s="54"/>
      <c r="U78" s="55"/>
      <c r="V78" s="82"/>
      <c r="W78" s="83"/>
      <c r="X78" s="54"/>
      <c r="Y78" s="66"/>
    </row>
    <row r="79" spans="1:25" s="6" customFormat="1" x14ac:dyDescent="0.2">
      <c r="A79" s="6" t="s">
        <v>90</v>
      </c>
      <c r="B79" s="5">
        <v>2020</v>
      </c>
      <c r="C79" s="5">
        <v>52</v>
      </c>
      <c r="D79" s="5">
        <f>Table1[[#This Row],[Collection year]]-C79</f>
        <v>1968</v>
      </c>
      <c r="E79" s="5" t="s">
        <v>5</v>
      </c>
      <c r="F79" s="42" t="s">
        <v>129</v>
      </c>
      <c r="G79" s="5" t="s">
        <v>0</v>
      </c>
      <c r="H79" s="8">
        <v>6.1872460000000004E-3</v>
      </c>
      <c r="I79" s="5"/>
      <c r="J79" s="5"/>
      <c r="K79" s="97"/>
      <c r="L79" s="52" t="s">
        <v>0</v>
      </c>
      <c r="M79" s="65" t="s">
        <v>0</v>
      </c>
      <c r="N79" s="54"/>
      <c r="O79" s="55"/>
      <c r="P79" s="55"/>
      <c r="Q79" s="55"/>
      <c r="R79" s="66"/>
      <c r="S79" s="97"/>
      <c r="T79" s="54"/>
      <c r="U79" s="55"/>
      <c r="V79" s="82"/>
      <c r="W79" s="83"/>
      <c r="X79" s="54"/>
      <c r="Y79" s="66"/>
    </row>
    <row r="80" spans="1:25" s="6" customFormat="1" x14ac:dyDescent="0.2">
      <c r="A80" s="6" t="s">
        <v>91</v>
      </c>
      <c r="B80" s="5">
        <v>2020</v>
      </c>
      <c r="C80" s="5">
        <v>61</v>
      </c>
      <c r="D80" s="5">
        <f>Table1[[#This Row],[Collection year]]-C80</f>
        <v>1959</v>
      </c>
      <c r="E80" s="5" t="s">
        <v>5</v>
      </c>
      <c r="F80" s="42" t="s">
        <v>124</v>
      </c>
      <c r="G80" s="5" t="s">
        <v>0</v>
      </c>
      <c r="H80" s="8">
        <v>2.2282399999999998E-3</v>
      </c>
      <c r="I80" s="5"/>
      <c r="J80" s="5"/>
      <c r="K80" s="97"/>
      <c r="L80" s="52" t="s">
        <v>0</v>
      </c>
      <c r="M80" s="65" t="s">
        <v>0</v>
      </c>
      <c r="N80" s="54"/>
      <c r="O80" s="55"/>
      <c r="P80" s="55"/>
      <c r="Q80" s="55"/>
      <c r="R80" s="66"/>
      <c r="S80" s="97"/>
      <c r="T80" s="54"/>
      <c r="U80" s="55"/>
      <c r="V80" s="82"/>
      <c r="W80" s="83"/>
      <c r="X80" s="54"/>
      <c r="Y80" s="66"/>
    </row>
    <row r="81" spans="1:25" s="22" customFormat="1" x14ac:dyDescent="0.2">
      <c r="A81" s="22" t="s">
        <v>92</v>
      </c>
      <c r="B81" s="22">
        <v>2020</v>
      </c>
      <c r="C81" s="22">
        <v>21</v>
      </c>
      <c r="D81" s="22">
        <f>Table1[[#This Row],[Collection year]]-C81</f>
        <v>1999</v>
      </c>
      <c r="E81" s="22" t="s">
        <v>7</v>
      </c>
      <c r="F81" s="41" t="s">
        <v>124</v>
      </c>
      <c r="G81" s="22" t="s">
        <v>0</v>
      </c>
      <c r="H81" s="23" t="s">
        <v>4</v>
      </c>
      <c r="K81" s="96"/>
      <c r="L81" s="50" t="s">
        <v>0</v>
      </c>
      <c r="M81" s="64"/>
      <c r="N81" s="50"/>
      <c r="O81" s="51"/>
      <c r="P81" s="51"/>
      <c r="Q81" s="51"/>
      <c r="R81" s="64"/>
      <c r="S81" s="96"/>
      <c r="T81" s="50"/>
      <c r="U81" s="51"/>
      <c r="V81" s="80"/>
      <c r="W81" s="81"/>
      <c r="X81" s="50"/>
      <c r="Y81" s="64"/>
    </row>
    <row r="82" spans="1:25" s="6" customFormat="1" x14ac:dyDescent="0.2">
      <c r="A82" s="6" t="s">
        <v>93</v>
      </c>
      <c r="B82" s="5">
        <v>2020</v>
      </c>
      <c r="C82" s="5">
        <v>51</v>
      </c>
      <c r="D82" s="5">
        <f>Table1[[#This Row],[Collection year]]-C82</f>
        <v>1969</v>
      </c>
      <c r="E82" s="5" t="s">
        <v>5</v>
      </c>
      <c r="F82" s="42" t="s">
        <v>124</v>
      </c>
      <c r="G82" s="5"/>
      <c r="H82" s="8"/>
      <c r="I82" s="5"/>
      <c r="J82" s="5"/>
      <c r="K82" s="97"/>
      <c r="L82" s="54" t="s">
        <v>0</v>
      </c>
      <c r="M82" s="66"/>
      <c r="N82" s="54"/>
      <c r="O82" s="55"/>
      <c r="P82" s="55"/>
      <c r="Q82" s="55"/>
      <c r="R82" s="66"/>
      <c r="S82" s="98" t="s">
        <v>0</v>
      </c>
      <c r="T82" s="54"/>
      <c r="U82" s="55"/>
      <c r="V82" s="82"/>
      <c r="W82" s="83"/>
      <c r="X82" s="54"/>
      <c r="Y82" s="66"/>
    </row>
    <row r="83" spans="1:25" s="5" customFormat="1" x14ac:dyDescent="0.2">
      <c r="A83" s="5" t="s">
        <v>94</v>
      </c>
      <c r="B83" s="5">
        <v>2021</v>
      </c>
      <c r="C83" s="5">
        <v>49</v>
      </c>
      <c r="D83" s="5">
        <f>Table1[[#This Row],[Collection year]]-C83</f>
        <v>1972</v>
      </c>
      <c r="E83" s="5" t="s">
        <v>5</v>
      </c>
      <c r="F83" s="42" t="s">
        <v>124</v>
      </c>
      <c r="H83" s="8"/>
      <c r="K83" s="98"/>
      <c r="L83" s="52" t="s">
        <v>0</v>
      </c>
      <c r="M83" s="65" t="s">
        <v>0</v>
      </c>
      <c r="N83" s="52"/>
      <c r="O83" s="53"/>
      <c r="P83" s="53"/>
      <c r="Q83" s="53"/>
      <c r="R83" s="65"/>
      <c r="S83" s="98" t="s">
        <v>0</v>
      </c>
      <c r="T83" s="52"/>
      <c r="U83" s="53"/>
      <c r="V83" s="84"/>
      <c r="W83" s="79" t="s">
        <v>147</v>
      </c>
      <c r="X83" s="52"/>
      <c r="Y83" s="65"/>
    </row>
    <row r="84" spans="1:25" s="6" customFormat="1" x14ac:dyDescent="0.2">
      <c r="A84" s="6" t="s">
        <v>95</v>
      </c>
      <c r="B84" s="5">
        <v>2021</v>
      </c>
      <c r="C84" s="5">
        <v>58</v>
      </c>
      <c r="D84" s="5">
        <f>Table1[[#This Row],[Collection year]]-C84</f>
        <v>1963</v>
      </c>
      <c r="E84" s="5" t="s">
        <v>5</v>
      </c>
      <c r="F84" s="42" t="s">
        <v>124</v>
      </c>
      <c r="G84" s="5"/>
      <c r="H84" s="8"/>
      <c r="I84" s="5"/>
      <c r="J84" s="5"/>
      <c r="K84" s="97"/>
      <c r="L84" s="52" t="s">
        <v>0</v>
      </c>
      <c r="M84" s="65" t="s">
        <v>0</v>
      </c>
      <c r="N84" s="54"/>
      <c r="O84" s="55"/>
      <c r="P84" s="55"/>
      <c r="Q84" s="55"/>
      <c r="R84" s="66"/>
      <c r="S84" s="98"/>
      <c r="T84" s="54"/>
      <c r="U84" s="55"/>
      <c r="V84" s="82"/>
      <c r="W84" s="79"/>
      <c r="X84" s="54"/>
      <c r="Y84" s="66"/>
    </row>
    <row r="85" spans="1:25" s="6" customFormat="1" x14ac:dyDescent="0.2">
      <c r="A85" s="6" t="s">
        <v>96</v>
      </c>
      <c r="B85" s="5">
        <v>2021</v>
      </c>
      <c r="C85" s="5">
        <v>78</v>
      </c>
      <c r="D85" s="5">
        <f>Table1[[#This Row],[Collection year]]-C85</f>
        <v>1943</v>
      </c>
      <c r="E85" s="5" t="s">
        <v>5</v>
      </c>
      <c r="F85" s="43" t="s">
        <v>136</v>
      </c>
      <c r="G85" s="5"/>
      <c r="H85" s="8"/>
      <c r="I85" s="5"/>
      <c r="J85" s="5"/>
      <c r="K85" s="97"/>
      <c r="L85" s="54" t="s">
        <v>0</v>
      </c>
      <c r="M85" s="66" t="s">
        <v>0</v>
      </c>
      <c r="N85" s="54"/>
      <c r="O85" s="55"/>
      <c r="P85" s="55"/>
      <c r="Q85" s="55"/>
      <c r="R85" s="66"/>
      <c r="S85" s="98"/>
      <c r="T85" s="54"/>
      <c r="U85" s="55"/>
      <c r="V85" s="82"/>
      <c r="W85" s="79"/>
      <c r="X85" s="54"/>
      <c r="Y85" s="66"/>
    </row>
    <row r="86" spans="1:25" s="6" customFormat="1" x14ac:dyDescent="0.2">
      <c r="A86" s="6" t="s">
        <v>98</v>
      </c>
      <c r="B86" s="6">
        <v>2021</v>
      </c>
      <c r="C86" s="6">
        <v>72</v>
      </c>
      <c r="D86" s="14">
        <f>Table1[[#This Row],[Collection year]]-C86</f>
        <v>1949</v>
      </c>
      <c r="E86" s="6" t="s">
        <v>7</v>
      </c>
      <c r="F86" s="43" t="s">
        <v>124</v>
      </c>
      <c r="H86" s="13"/>
      <c r="K86" s="97"/>
      <c r="L86" s="54" t="s">
        <v>0</v>
      </c>
      <c r="M86" s="66" t="s">
        <v>0</v>
      </c>
      <c r="N86" s="52"/>
      <c r="O86" s="53"/>
      <c r="P86" s="55"/>
      <c r="Q86" s="55"/>
      <c r="R86" s="66"/>
      <c r="S86" s="97"/>
      <c r="T86" s="54"/>
      <c r="U86" s="55"/>
      <c r="V86" s="82"/>
      <c r="W86" s="79"/>
      <c r="X86" s="52"/>
      <c r="Y86" s="66"/>
    </row>
    <row r="87" spans="1:25" x14ac:dyDescent="0.2">
      <c r="A87" s="11" t="s">
        <v>11</v>
      </c>
      <c r="B87" s="11">
        <v>2013</v>
      </c>
      <c r="C87" s="11">
        <v>5</v>
      </c>
      <c r="D87" s="11">
        <f>Table1[[#This Row],[Collection year]]-C87</f>
        <v>2008</v>
      </c>
      <c r="E87" s="11" t="s">
        <v>5</v>
      </c>
      <c r="F87" s="44" t="s">
        <v>134</v>
      </c>
      <c r="G87" s="11"/>
      <c r="H87" s="12"/>
      <c r="I87" s="11"/>
      <c r="J87" s="11"/>
      <c r="K87" s="101"/>
      <c r="L87" s="71" t="s">
        <v>0</v>
      </c>
      <c r="M87" s="75"/>
      <c r="N87" s="71" t="s">
        <v>137</v>
      </c>
      <c r="O87" s="72" t="s">
        <v>137</v>
      </c>
      <c r="P87" s="59"/>
      <c r="Q87" s="59"/>
      <c r="R87" s="68"/>
      <c r="S87" s="101"/>
      <c r="T87" s="74"/>
      <c r="U87" s="59"/>
      <c r="V87" s="89"/>
      <c r="W87" s="90"/>
      <c r="X87" s="58"/>
      <c r="Y87" s="68"/>
    </row>
    <row r="88" spans="1:25" x14ac:dyDescent="0.2">
      <c r="A88" s="11" t="s">
        <v>13</v>
      </c>
      <c r="B88" s="11">
        <v>2012</v>
      </c>
      <c r="C88" s="11">
        <v>4</v>
      </c>
      <c r="D88" s="11">
        <f>Table1[[#This Row],[Collection year]]-C88</f>
        <v>2008</v>
      </c>
      <c r="E88" s="11" t="s">
        <v>5</v>
      </c>
      <c r="F88" s="44" t="s">
        <v>134</v>
      </c>
      <c r="G88" s="11"/>
      <c r="H88" s="12"/>
      <c r="I88" s="11"/>
      <c r="J88" s="11"/>
      <c r="K88" s="101"/>
      <c r="L88" s="71" t="s">
        <v>0</v>
      </c>
      <c r="M88" s="75"/>
      <c r="N88" s="71" t="s">
        <v>137</v>
      </c>
      <c r="O88" s="72" t="s">
        <v>137</v>
      </c>
      <c r="P88" s="59"/>
      <c r="Q88" s="59"/>
      <c r="R88" s="68"/>
      <c r="S88" s="101"/>
      <c r="T88" s="74"/>
      <c r="U88" s="59"/>
      <c r="V88" s="89"/>
      <c r="W88" s="90"/>
      <c r="X88" s="58"/>
      <c r="Y88" s="68"/>
    </row>
    <row r="89" spans="1:25" x14ac:dyDescent="0.2">
      <c r="A89" s="11" t="s">
        <v>14</v>
      </c>
      <c r="B89" s="11">
        <v>2012</v>
      </c>
      <c r="C89" s="11">
        <v>4</v>
      </c>
      <c r="D89" s="11">
        <f>Table1[[#This Row],[Collection year]]-C89</f>
        <v>2008</v>
      </c>
      <c r="E89" s="11" t="s">
        <v>7</v>
      </c>
      <c r="F89" s="44" t="s">
        <v>134</v>
      </c>
      <c r="G89" s="11"/>
      <c r="H89" s="12"/>
      <c r="I89" s="11"/>
      <c r="J89" s="11"/>
      <c r="K89" s="101"/>
      <c r="L89" s="71" t="s">
        <v>0</v>
      </c>
      <c r="M89" s="75"/>
      <c r="N89" s="71" t="s">
        <v>137</v>
      </c>
      <c r="O89" s="72" t="s">
        <v>137</v>
      </c>
      <c r="P89" s="59"/>
      <c r="Q89" s="59"/>
      <c r="R89" s="68"/>
      <c r="S89" s="101"/>
      <c r="T89" s="74"/>
      <c r="U89" s="59"/>
      <c r="V89" s="89"/>
      <c r="W89" s="90"/>
      <c r="X89" s="58"/>
      <c r="Y89" s="68"/>
    </row>
    <row r="90" spans="1:25" s="20" customFormat="1" x14ac:dyDescent="0.2">
      <c r="A90" s="11" t="s">
        <v>12</v>
      </c>
      <c r="B90" s="11">
        <v>2013</v>
      </c>
      <c r="C90" s="11">
        <v>4.5</v>
      </c>
      <c r="D90" s="11">
        <v>2008</v>
      </c>
      <c r="E90" s="11" t="s">
        <v>7</v>
      </c>
      <c r="F90" s="44" t="s">
        <v>134</v>
      </c>
      <c r="G90" s="11"/>
      <c r="H90" s="12"/>
      <c r="I90" s="11"/>
      <c r="J90" s="11"/>
      <c r="K90" s="101"/>
      <c r="L90" s="71" t="s">
        <v>0</v>
      </c>
      <c r="M90" s="75"/>
      <c r="N90" s="71" t="s">
        <v>137</v>
      </c>
      <c r="O90" s="72" t="s">
        <v>137</v>
      </c>
      <c r="P90" s="59"/>
      <c r="Q90" s="59"/>
      <c r="R90" s="68"/>
      <c r="S90" s="101"/>
      <c r="T90" s="74"/>
      <c r="U90" s="59"/>
      <c r="V90" s="89"/>
      <c r="W90" s="90"/>
      <c r="X90" s="58"/>
      <c r="Y90" s="68"/>
    </row>
    <row r="91" spans="1:25" x14ac:dyDescent="0.2">
      <c r="A91" s="19">
        <f>ROWS(Table1[Donor_id])</f>
        <v>87</v>
      </c>
      <c r="B91" s="19"/>
      <c r="C91" s="19"/>
      <c r="D91" s="19"/>
      <c r="E91" s="19"/>
      <c r="F91" s="19"/>
      <c r="G91" s="19"/>
      <c r="H91" s="19">
        <f>COUNTA(Table1[B5+_frequency (% of IgG+ switched memory B cells - corrected)])</f>
        <v>74</v>
      </c>
      <c r="I91" s="19">
        <f>COUNTA(Table1[B5+_sort (IgM)])</f>
        <v>5</v>
      </c>
      <c r="J91" s="19">
        <f>COUNTA(Table1[B5+_sort (IgA)])</f>
        <v>3</v>
      </c>
      <c r="K91" s="102">
        <f>COUNTA(Table1[VDJ_B5+])</f>
        <v>5</v>
      </c>
      <c r="L91" s="60">
        <f>COUNTA(Table1[Panel_B (Spleen)])</f>
        <v>43</v>
      </c>
      <c r="M91" s="69">
        <f>COUNTA(Table1[Panel_B (PBMCs)])</f>
        <v>7</v>
      </c>
      <c r="N91" s="60">
        <f>COUNTA(Table1[scRNA-seq (Total memB)])</f>
        <v>13</v>
      </c>
      <c r="O91" s="19">
        <f>COUNTA(Table1[scRNA-seq (Naive)])</f>
        <v>10</v>
      </c>
      <c r="P91" s="19">
        <f>COUNTA(Table1[scRNA-seq (B5R+ memB)])</f>
        <v>6</v>
      </c>
      <c r="Q91" s="19">
        <f>COUNTA(Table1[bulk RNA-seq])</f>
        <v>4</v>
      </c>
      <c r="R91" s="69">
        <f>COUNTA(Table1[bulk ATAC-seq])</f>
        <v>3</v>
      </c>
      <c r="S91" s="102">
        <f>COUNTA(Table1[FACS_RNA-seq DEG_CD21hi/CD21int])</f>
        <v>10</v>
      </c>
      <c r="T91" s="60">
        <f>COUNTA(Table1[Seahorse])</f>
        <v>5</v>
      </c>
      <c r="U91" s="19">
        <f>COUNTA(Table1[Fluxomic analysis])</f>
        <v>3</v>
      </c>
      <c r="V91" s="76">
        <f>COUNTA(Table1[FACS staining: B5+ IgG+ (related to Figure S7L-M)])</f>
        <v>8</v>
      </c>
      <c r="W91" s="91">
        <f>COUNTA(Table1[FACS staining: CD21hi/CD21int pop2])</f>
        <v>11</v>
      </c>
      <c r="X91" s="60">
        <f>COUNTA(Table1[B cell populations])</f>
        <v>20</v>
      </c>
      <c r="Y91" s="69">
        <f>COUNTA(Table1[B5+ IgG+])</f>
        <v>6</v>
      </c>
    </row>
    <row r="92" spans="1:25" x14ac:dyDescent="0.2">
      <c r="C92" s="21" t="s">
        <v>5</v>
      </c>
      <c r="D92" s="21"/>
      <c r="E92" s="21">
        <f>COUNTIF(Table1[Sex], "Male")</f>
        <v>45</v>
      </c>
      <c r="F92" s="21"/>
      <c r="N92" s="73" t="s">
        <v>138</v>
      </c>
    </row>
    <row r="93" spans="1:25" x14ac:dyDescent="0.2">
      <c r="C93" s="21" t="s">
        <v>7</v>
      </c>
      <c r="D93" s="21"/>
      <c r="E93" s="21">
        <f>COUNTIF(Table1[Sex], "Female")</f>
        <v>41</v>
      </c>
      <c r="F93" s="21"/>
      <c r="X93" s="54"/>
    </row>
    <row r="96" spans="1:25" x14ac:dyDescent="0.2">
      <c r="F96" s="4"/>
    </row>
  </sheetData>
  <mergeCells count="4">
    <mergeCell ref="X2:Y2"/>
    <mergeCell ref="N2:R2"/>
    <mergeCell ref="L2:M2"/>
    <mergeCell ref="T2:W2"/>
  </mergeCell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3"/>
  <sheetViews>
    <sheetView tabSelected="1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B14" sqref="B14"/>
    </sheetView>
  </sheetViews>
  <sheetFormatPr baseColWidth="10" defaultRowHeight="16" x14ac:dyDescent="0.2"/>
  <cols>
    <col min="1" max="4" width="15.33203125" style="28" customWidth="1"/>
    <col min="5" max="19" width="18.83203125" style="28" customWidth="1"/>
    <col min="20" max="20" width="19.6640625" style="28" customWidth="1"/>
    <col min="21" max="16384" width="10.83203125" style="28"/>
  </cols>
  <sheetData>
    <row r="1" spans="1:20" x14ac:dyDescent="0.2">
      <c r="A1" s="27" t="s">
        <v>100</v>
      </c>
    </row>
    <row r="3" spans="1:20" s="36" customFormat="1" ht="40" customHeight="1" x14ac:dyDescent="0.2">
      <c r="A3" s="29" t="s">
        <v>1</v>
      </c>
      <c r="B3" s="26" t="s">
        <v>2</v>
      </c>
      <c r="C3" s="26" t="s">
        <v>101</v>
      </c>
      <c r="D3" s="26" t="s">
        <v>102</v>
      </c>
      <c r="E3" s="26" t="s">
        <v>121</v>
      </c>
      <c r="F3" s="26" t="s">
        <v>103</v>
      </c>
      <c r="G3" s="26" t="s">
        <v>104</v>
      </c>
      <c r="H3" s="26" t="s">
        <v>105</v>
      </c>
      <c r="I3" s="26" t="s">
        <v>106</v>
      </c>
      <c r="J3" s="26" t="s">
        <v>107</v>
      </c>
      <c r="K3" s="26" t="s">
        <v>108</v>
      </c>
      <c r="L3" s="26" t="s">
        <v>109</v>
      </c>
      <c r="M3" s="26" t="s">
        <v>110</v>
      </c>
      <c r="N3" s="26" t="s">
        <v>111</v>
      </c>
      <c r="O3" s="26" t="s">
        <v>112</v>
      </c>
      <c r="P3" s="26" t="s">
        <v>113</v>
      </c>
      <c r="Q3" s="26" t="s">
        <v>114</v>
      </c>
      <c r="R3" s="26" t="s">
        <v>115</v>
      </c>
      <c r="S3" s="26" t="s">
        <v>116</v>
      </c>
      <c r="T3" s="26" t="s">
        <v>122</v>
      </c>
    </row>
    <row r="4" spans="1:20" s="32" customFormat="1" x14ac:dyDescent="0.2">
      <c r="A4" s="30" t="s">
        <v>23</v>
      </c>
      <c r="B4" s="30">
        <v>48</v>
      </c>
      <c r="C4" s="30" t="s">
        <v>117</v>
      </c>
      <c r="D4" s="30" t="s">
        <v>118</v>
      </c>
      <c r="E4" s="31">
        <v>0.56600000000000006</v>
      </c>
      <c r="F4" s="31">
        <v>59.365300000000005</v>
      </c>
      <c r="G4" s="31">
        <v>0.12497300000000001</v>
      </c>
      <c r="H4" s="31">
        <v>0.70677999999999996</v>
      </c>
      <c r="I4" s="31">
        <v>25.642600000000002</v>
      </c>
      <c r="J4" s="31">
        <v>16.646799999999999</v>
      </c>
      <c r="K4" s="31">
        <v>21.366399999999999</v>
      </c>
      <c r="L4" s="31">
        <v>34.5</v>
      </c>
      <c r="M4" s="31">
        <v>59.3</v>
      </c>
      <c r="N4" s="31">
        <v>3.83</v>
      </c>
      <c r="O4" s="31">
        <v>73.5</v>
      </c>
      <c r="P4" s="31">
        <v>5.8599999999999994</v>
      </c>
      <c r="Q4" s="31">
        <v>10.31</v>
      </c>
      <c r="R4" s="31">
        <v>52.95</v>
      </c>
      <c r="S4" s="31">
        <v>30.85</v>
      </c>
      <c r="T4" s="39">
        <v>1742</v>
      </c>
    </row>
    <row r="5" spans="1:20" s="32" customFormat="1" x14ac:dyDescent="0.2">
      <c r="A5" s="32" t="s">
        <v>87</v>
      </c>
      <c r="B5" s="32">
        <v>82</v>
      </c>
      <c r="C5" s="32" t="s">
        <v>117</v>
      </c>
      <c r="D5" s="32" t="s">
        <v>118</v>
      </c>
      <c r="E5" s="33">
        <v>1.306</v>
      </c>
      <c r="F5" s="33">
        <v>51.804200000000002</v>
      </c>
      <c r="G5" s="33">
        <v>0.167493</v>
      </c>
      <c r="H5" s="33">
        <v>4.3559500000000001E-2</v>
      </c>
      <c r="I5" s="33">
        <v>21.411849999999998</v>
      </c>
      <c r="J5" s="33">
        <v>16.523300000000003</v>
      </c>
      <c r="K5" s="33">
        <v>27.019650000000002</v>
      </c>
      <c r="L5" s="33">
        <v>33.799999999999997</v>
      </c>
      <c r="M5" s="33">
        <v>60.75</v>
      </c>
      <c r="N5" s="33">
        <v>4.6349999999999998</v>
      </c>
      <c r="O5" s="33">
        <v>1.7050000000000001</v>
      </c>
      <c r="P5" s="33">
        <v>6.18</v>
      </c>
      <c r="Q5" s="33">
        <v>2.0049999999999999</v>
      </c>
      <c r="R5" s="33">
        <v>13</v>
      </c>
      <c r="S5" s="33">
        <v>78.75</v>
      </c>
      <c r="T5" s="38">
        <v>2674</v>
      </c>
    </row>
    <row r="6" spans="1:20" s="32" customFormat="1" x14ac:dyDescent="0.2">
      <c r="A6" s="32" t="s">
        <v>8</v>
      </c>
      <c r="B6" s="32">
        <v>52</v>
      </c>
      <c r="C6" s="32" t="s">
        <v>117</v>
      </c>
      <c r="D6" s="32" t="s">
        <v>118</v>
      </c>
      <c r="E6" s="33">
        <v>0.73766666666666669</v>
      </c>
      <c r="F6" s="33">
        <v>16.510733333333334</v>
      </c>
      <c r="G6" s="33">
        <v>7.2930333333333333E-2</v>
      </c>
      <c r="H6" s="33">
        <v>1.4093466666666667</v>
      </c>
      <c r="I6" s="33">
        <v>45.680499999999995</v>
      </c>
      <c r="J6" s="33">
        <v>18.450233333333333</v>
      </c>
      <c r="K6" s="33">
        <v>6.6483333333333334</v>
      </c>
      <c r="L6" s="33">
        <v>36.966666666666661</v>
      </c>
      <c r="M6" s="33">
        <v>59.933333333333337</v>
      </c>
      <c r="N6" s="33">
        <v>2.1500000000000004</v>
      </c>
      <c r="O6" s="33">
        <v>4.9533333333333331</v>
      </c>
      <c r="P6" s="33">
        <v>1.7166666666666668</v>
      </c>
      <c r="Q6" s="33">
        <v>6.2966666666666669</v>
      </c>
      <c r="R6" s="33">
        <v>48.6</v>
      </c>
      <c r="S6" s="33">
        <v>43.433333333333337</v>
      </c>
      <c r="T6" s="38">
        <v>3728</v>
      </c>
    </row>
    <row r="7" spans="1:20" s="32" customFormat="1" x14ac:dyDescent="0.2">
      <c r="A7" s="32" t="s">
        <v>64</v>
      </c>
      <c r="B7" s="32">
        <v>72</v>
      </c>
      <c r="C7" s="32" t="s">
        <v>117</v>
      </c>
      <c r="D7" s="32" t="s">
        <v>118</v>
      </c>
      <c r="E7" s="33">
        <v>0.54100000000000004</v>
      </c>
      <c r="F7" s="33">
        <v>39.749399999999994</v>
      </c>
      <c r="G7" s="33">
        <v>9.1020000000000004E-2</v>
      </c>
      <c r="H7" s="33">
        <v>1.2488999999999999</v>
      </c>
      <c r="I7" s="33">
        <v>28.1175</v>
      </c>
      <c r="J7" s="33">
        <v>12.289199999999999</v>
      </c>
      <c r="K7" s="33">
        <v>23.960400000000003</v>
      </c>
      <c r="L7" s="33">
        <v>36.799999999999997</v>
      </c>
      <c r="M7" s="33">
        <v>26.6</v>
      </c>
      <c r="N7" s="33">
        <v>32.5</v>
      </c>
      <c r="O7" s="33">
        <v>7.21</v>
      </c>
      <c r="P7" s="33">
        <v>3.75</v>
      </c>
      <c r="Q7" s="33">
        <v>3.39</v>
      </c>
      <c r="R7" s="33">
        <v>22.9</v>
      </c>
      <c r="S7" s="33">
        <v>70</v>
      </c>
      <c r="T7" s="38">
        <v>1729</v>
      </c>
    </row>
    <row r="8" spans="1:20" s="32" customFormat="1" x14ac:dyDescent="0.2">
      <c r="A8" s="32" t="s">
        <v>18</v>
      </c>
      <c r="B8" s="32">
        <v>84</v>
      </c>
      <c r="C8" s="32" t="s">
        <v>117</v>
      </c>
      <c r="D8" s="32" t="s">
        <v>118</v>
      </c>
      <c r="E8" s="33">
        <v>0.23800000000000002</v>
      </c>
      <c r="F8" s="33">
        <v>47.257899999999999</v>
      </c>
      <c r="G8" s="33">
        <v>0.1064155</v>
      </c>
      <c r="H8" s="33">
        <v>1.5094100000000001</v>
      </c>
      <c r="I8" s="33">
        <v>34.161500000000004</v>
      </c>
      <c r="J8" s="33">
        <v>23.283999999999999</v>
      </c>
      <c r="K8" s="33">
        <v>8.579699999999999</v>
      </c>
      <c r="L8" s="33">
        <v>56.3</v>
      </c>
      <c r="M8" s="33">
        <v>40.299999999999997</v>
      </c>
      <c r="N8" s="33">
        <v>1.9950000000000001</v>
      </c>
      <c r="O8" s="33">
        <v>4.4050000000000002</v>
      </c>
      <c r="P8" s="33">
        <v>2.5949999999999998</v>
      </c>
      <c r="Q8" s="33">
        <v>1.66</v>
      </c>
      <c r="R8" s="33">
        <v>41.45</v>
      </c>
      <c r="S8" s="33">
        <v>54.25</v>
      </c>
      <c r="T8" s="38">
        <v>1963</v>
      </c>
    </row>
    <row r="9" spans="1:20" s="32" customFormat="1" x14ac:dyDescent="0.2">
      <c r="A9" s="32" t="s">
        <v>86</v>
      </c>
      <c r="B9" s="32">
        <v>63</v>
      </c>
      <c r="C9" s="32" t="s">
        <v>117</v>
      </c>
      <c r="D9" s="32" t="s">
        <v>118</v>
      </c>
      <c r="E9" s="33">
        <v>3.62</v>
      </c>
      <c r="F9" s="33">
        <v>54.397199999999991</v>
      </c>
      <c r="G9" s="33">
        <v>0</v>
      </c>
      <c r="H9" s="33">
        <v>0.27218999999999999</v>
      </c>
      <c r="I9" s="33">
        <v>15.698400000000001</v>
      </c>
      <c r="J9" s="33">
        <v>19.4436</v>
      </c>
      <c r="K9" s="33">
        <v>7.1315999999999997</v>
      </c>
      <c r="L9" s="33">
        <v>53.7</v>
      </c>
      <c r="M9" s="33">
        <v>30.3</v>
      </c>
      <c r="N9" s="33">
        <v>12.9</v>
      </c>
      <c r="O9" s="33">
        <v>26.2</v>
      </c>
      <c r="P9" s="33">
        <v>2.86</v>
      </c>
      <c r="Q9" s="33">
        <v>3.1</v>
      </c>
      <c r="R9" s="33">
        <v>28.4</v>
      </c>
      <c r="S9" s="33">
        <v>65.599999999999994</v>
      </c>
      <c r="T9" s="38">
        <v>1665</v>
      </c>
    </row>
    <row r="10" spans="1:20" s="32" customFormat="1" x14ac:dyDescent="0.2">
      <c r="A10" s="32" t="s">
        <v>13</v>
      </c>
      <c r="B10" s="32">
        <v>4</v>
      </c>
      <c r="C10" s="32" t="s">
        <v>117</v>
      </c>
      <c r="D10" s="32" t="s">
        <v>119</v>
      </c>
      <c r="E10" s="33">
        <v>0.32100000000000001</v>
      </c>
      <c r="F10" s="33">
        <v>31.738899999999997</v>
      </c>
      <c r="G10" s="33">
        <v>2.7004099999999998</v>
      </c>
      <c r="H10" s="33">
        <v>6.5566200000000014</v>
      </c>
      <c r="I10" s="33">
        <v>57.667500000000011</v>
      </c>
      <c r="J10" s="33">
        <v>12.078199999999999</v>
      </c>
      <c r="K10" s="33">
        <v>6.6402000000000001</v>
      </c>
      <c r="L10" s="33">
        <v>21.1</v>
      </c>
      <c r="M10" s="33">
        <v>72</v>
      </c>
      <c r="N10" s="33">
        <v>4.3600000000000003</v>
      </c>
      <c r="O10" s="33">
        <v>3.26</v>
      </c>
      <c r="P10" s="33">
        <v>8.09</v>
      </c>
      <c r="Q10" s="33">
        <v>11.2</v>
      </c>
      <c r="R10" s="33">
        <v>55.5</v>
      </c>
      <c r="S10" s="33">
        <v>25.2</v>
      </c>
      <c r="T10" s="38">
        <v>2091</v>
      </c>
    </row>
    <row r="11" spans="1:20" s="32" customFormat="1" x14ac:dyDescent="0.2">
      <c r="A11" s="32" t="s">
        <v>57</v>
      </c>
      <c r="B11" s="32">
        <v>57</v>
      </c>
      <c r="C11" s="32" t="s">
        <v>117</v>
      </c>
      <c r="D11" s="32" t="s">
        <v>118</v>
      </c>
      <c r="E11" s="33">
        <v>0.48499999999999999</v>
      </c>
      <c r="F11" s="33">
        <v>36.075600000000001</v>
      </c>
      <c r="G11" s="33">
        <v>1.5033700000000001</v>
      </c>
      <c r="H11" s="33">
        <v>0.66314000000000006</v>
      </c>
      <c r="I11" s="33">
        <v>44.411700000000003</v>
      </c>
      <c r="J11" s="33">
        <v>8.1194600000000001</v>
      </c>
      <c r="K11" s="33">
        <v>16.5288</v>
      </c>
      <c r="L11" s="33">
        <v>50.2</v>
      </c>
      <c r="M11" s="33">
        <v>44.1</v>
      </c>
      <c r="N11" s="33">
        <v>2.5499999999999998</v>
      </c>
      <c r="O11" s="33">
        <v>4.07</v>
      </c>
      <c r="P11" s="33">
        <v>2.4900000000000002</v>
      </c>
      <c r="Q11" s="33">
        <v>1.84</v>
      </c>
      <c r="R11" s="33">
        <v>19.2</v>
      </c>
      <c r="S11" s="33">
        <v>76.5</v>
      </c>
      <c r="T11" s="38">
        <v>1072</v>
      </c>
    </row>
    <row r="12" spans="1:20" s="32" customFormat="1" x14ac:dyDescent="0.2">
      <c r="A12" s="32" t="s">
        <v>74</v>
      </c>
      <c r="B12" s="32">
        <v>65</v>
      </c>
      <c r="C12" s="32" t="s">
        <v>117</v>
      </c>
      <c r="D12" s="32" t="s">
        <v>118</v>
      </c>
      <c r="E12" s="33">
        <v>0.64400000000000002</v>
      </c>
      <c r="F12" s="33">
        <v>37.154400000000003</v>
      </c>
      <c r="G12" s="33">
        <v>0</v>
      </c>
      <c r="H12" s="33">
        <v>1.1387799999999999</v>
      </c>
      <c r="I12" s="33">
        <v>53.534400000000005</v>
      </c>
      <c r="J12" s="33">
        <v>10.606399999999999</v>
      </c>
      <c r="K12" s="33">
        <v>9.5315999999999992</v>
      </c>
      <c r="L12" s="33">
        <v>55.2</v>
      </c>
      <c r="M12" s="33">
        <v>38.9</v>
      </c>
      <c r="N12" s="33">
        <v>3.6</v>
      </c>
      <c r="O12" s="33">
        <v>3.83</v>
      </c>
      <c r="P12" s="33">
        <v>0.57999999999999996</v>
      </c>
      <c r="Q12" s="33">
        <v>1.86</v>
      </c>
      <c r="R12" s="33">
        <v>55.5</v>
      </c>
      <c r="S12" s="33">
        <v>42.1</v>
      </c>
      <c r="T12" s="38">
        <v>1503</v>
      </c>
    </row>
    <row r="13" spans="1:20" s="32" customFormat="1" x14ac:dyDescent="0.2">
      <c r="A13" s="32" t="s">
        <v>15</v>
      </c>
      <c r="B13" s="32">
        <v>52</v>
      </c>
      <c r="C13" s="32" t="s">
        <v>117</v>
      </c>
      <c r="D13" s="32" t="s">
        <v>118</v>
      </c>
      <c r="E13" s="33">
        <v>0.20699999999999999</v>
      </c>
      <c r="F13" s="33">
        <v>64.052799999999991</v>
      </c>
      <c r="G13" s="33">
        <v>9.5927999999999999E-2</v>
      </c>
      <c r="H13" s="33">
        <v>0.90720000000000001</v>
      </c>
      <c r="I13" s="33">
        <v>28.538999999999998</v>
      </c>
      <c r="J13" s="33">
        <v>24.2</v>
      </c>
      <c r="K13" s="33">
        <v>19.271699999999999</v>
      </c>
      <c r="L13" s="33">
        <v>70.3</v>
      </c>
      <c r="M13" s="33">
        <v>27.1</v>
      </c>
      <c r="N13" s="33">
        <v>2.2000000000000002</v>
      </c>
      <c r="O13" s="33">
        <v>12</v>
      </c>
      <c r="P13" s="33">
        <v>2.16</v>
      </c>
      <c r="Q13" s="33">
        <v>2.54</v>
      </c>
      <c r="R13" s="33">
        <v>58.7</v>
      </c>
      <c r="S13" s="33">
        <v>36.6</v>
      </c>
      <c r="T13" s="38">
        <v>1632</v>
      </c>
    </row>
    <row r="14" spans="1:20" s="32" customFormat="1" x14ac:dyDescent="0.2">
      <c r="A14" s="32" t="s">
        <v>17</v>
      </c>
      <c r="B14" s="32">
        <v>57</v>
      </c>
      <c r="C14" s="32" t="s">
        <v>117</v>
      </c>
      <c r="D14" s="32" t="s">
        <v>118</v>
      </c>
      <c r="E14" s="33">
        <v>0.72</v>
      </c>
      <c r="F14" s="33">
        <v>40.6051</v>
      </c>
      <c r="G14" s="33">
        <v>0.80136800000000008</v>
      </c>
      <c r="H14" s="33">
        <v>5.1677999999999997</v>
      </c>
      <c r="I14" s="33">
        <v>68.120999999999995</v>
      </c>
      <c r="J14" s="33">
        <v>5.4933299999999994</v>
      </c>
      <c r="K14" s="33">
        <v>5.2397999999999998</v>
      </c>
      <c r="L14" s="33">
        <v>20</v>
      </c>
      <c r="M14" s="33">
        <v>68.7</v>
      </c>
      <c r="N14" s="33">
        <v>4.46</v>
      </c>
      <c r="O14" s="33">
        <v>3.63</v>
      </c>
      <c r="P14" s="33">
        <v>6.95</v>
      </c>
      <c r="Q14" s="33">
        <v>5.71</v>
      </c>
      <c r="R14" s="33">
        <v>54.2</v>
      </c>
      <c r="S14" s="33">
        <v>33.1</v>
      </c>
      <c r="T14" s="38">
        <v>1406</v>
      </c>
    </row>
    <row r="15" spans="1:20" s="32" customFormat="1" x14ac:dyDescent="0.2">
      <c r="A15" s="32" t="s">
        <v>20</v>
      </c>
      <c r="B15" s="32">
        <v>62</v>
      </c>
      <c r="C15" s="32" t="s">
        <v>117</v>
      </c>
      <c r="D15" s="32" t="s">
        <v>118</v>
      </c>
      <c r="E15" s="33">
        <v>4.0500000000000001E-2</v>
      </c>
      <c r="F15" s="33">
        <v>48.4572</v>
      </c>
      <c r="G15" s="33">
        <v>0.39412099999999994</v>
      </c>
      <c r="H15" s="33">
        <v>13.692600000000001</v>
      </c>
      <c r="I15" s="33">
        <v>42.781799999999997</v>
      </c>
      <c r="J15" s="33">
        <v>4.9133849999999999</v>
      </c>
      <c r="K15" s="33">
        <v>16.376300000000001</v>
      </c>
      <c r="L15" s="33">
        <v>63.650000000000006</v>
      </c>
      <c r="M15" s="33">
        <v>35</v>
      </c>
      <c r="N15" s="33">
        <v>1.395</v>
      </c>
      <c r="O15" s="33">
        <v>4.63</v>
      </c>
      <c r="P15" s="33">
        <v>0.6825</v>
      </c>
      <c r="Q15" s="33">
        <v>1.365</v>
      </c>
      <c r="R15" s="33">
        <v>31</v>
      </c>
      <c r="S15" s="33">
        <v>67</v>
      </c>
      <c r="T15" s="38">
        <v>1445.5</v>
      </c>
    </row>
    <row r="16" spans="1:20" s="32" customFormat="1" x14ac:dyDescent="0.2">
      <c r="A16" s="32" t="s">
        <v>16</v>
      </c>
      <c r="B16" s="32">
        <v>51</v>
      </c>
      <c r="C16" s="32" t="s">
        <v>117</v>
      </c>
      <c r="D16" s="32" t="s">
        <v>118</v>
      </c>
      <c r="E16" s="33">
        <v>0.54</v>
      </c>
      <c r="F16" s="33">
        <v>37.0627</v>
      </c>
      <c r="G16" s="33">
        <v>4.3695400000000009E-2</v>
      </c>
      <c r="H16" s="33">
        <v>0.17584</v>
      </c>
      <c r="I16" s="33">
        <v>10.2928</v>
      </c>
      <c r="J16" s="33">
        <v>21.757999999999996</v>
      </c>
      <c r="K16" s="33">
        <v>30.5123</v>
      </c>
      <c r="L16" s="33">
        <v>71.3</v>
      </c>
      <c r="M16" s="33">
        <v>26.6</v>
      </c>
      <c r="N16" s="33">
        <v>1.42</v>
      </c>
      <c r="O16" s="33">
        <v>6.95</v>
      </c>
      <c r="P16" s="33">
        <v>1.37</v>
      </c>
      <c r="Q16" s="33">
        <v>3.28</v>
      </c>
      <c r="R16" s="33">
        <v>54.4</v>
      </c>
      <c r="S16" s="33">
        <v>41</v>
      </c>
      <c r="T16" s="38">
        <v>1083</v>
      </c>
    </row>
    <row r="17" spans="1:20" s="32" customFormat="1" x14ac:dyDescent="0.2">
      <c r="A17" s="32" t="s">
        <v>10</v>
      </c>
      <c r="B17" s="32">
        <v>32</v>
      </c>
      <c r="C17" s="32" t="s">
        <v>117</v>
      </c>
      <c r="D17" s="32" t="s">
        <v>118</v>
      </c>
      <c r="E17" s="33">
        <v>1.18</v>
      </c>
      <c r="F17" s="33">
        <v>37.706899999999997</v>
      </c>
      <c r="G17" s="33">
        <v>2.5088399999999997</v>
      </c>
      <c r="H17" s="33">
        <v>0.47294000000000003</v>
      </c>
      <c r="I17" s="33">
        <v>35.448399999999999</v>
      </c>
      <c r="J17" s="33">
        <v>24.864000000000001</v>
      </c>
      <c r="K17" s="33">
        <v>10.6457</v>
      </c>
      <c r="L17" s="33">
        <v>32.1</v>
      </c>
      <c r="M17" s="33">
        <v>63.1</v>
      </c>
      <c r="N17" s="33">
        <v>3.82</v>
      </c>
      <c r="O17" s="33">
        <v>45.9</v>
      </c>
      <c r="P17" s="33">
        <v>7.27</v>
      </c>
      <c r="Q17" s="33">
        <v>7.41</v>
      </c>
      <c r="R17" s="33">
        <v>60.1</v>
      </c>
      <c r="S17" s="33">
        <v>25.3</v>
      </c>
      <c r="T17" s="38">
        <v>2260</v>
      </c>
    </row>
    <row r="18" spans="1:20" s="32" customFormat="1" x14ac:dyDescent="0.2">
      <c r="A18" s="32" t="s">
        <v>78</v>
      </c>
      <c r="B18" s="32">
        <v>62</v>
      </c>
      <c r="C18" s="32" t="s">
        <v>117</v>
      </c>
      <c r="D18" s="32" t="s">
        <v>118</v>
      </c>
      <c r="E18" s="33">
        <v>8.8249999999999993</v>
      </c>
      <c r="F18" s="33">
        <v>28.284949999999995</v>
      </c>
      <c r="G18" s="33">
        <v>0.21083599999999997</v>
      </c>
      <c r="H18" s="33">
        <v>1.2107299999999999</v>
      </c>
      <c r="I18" s="33">
        <v>26.42015</v>
      </c>
      <c r="J18" s="33">
        <v>22.732799999999997</v>
      </c>
      <c r="K18" s="33">
        <v>19.965949999999999</v>
      </c>
      <c r="L18" s="33">
        <v>45.1</v>
      </c>
      <c r="M18" s="33">
        <v>45.3</v>
      </c>
      <c r="N18" s="33">
        <v>6.04</v>
      </c>
      <c r="O18" s="33">
        <v>14.25</v>
      </c>
      <c r="P18" s="33">
        <v>10.780000000000001</v>
      </c>
      <c r="Q18" s="33">
        <v>2.7</v>
      </c>
      <c r="R18" s="33">
        <v>35.049999999999997</v>
      </c>
      <c r="S18" s="33">
        <v>51.45</v>
      </c>
      <c r="T18" s="38">
        <v>1211.5</v>
      </c>
    </row>
    <row r="19" spans="1:20" s="32" customFormat="1" x14ac:dyDescent="0.2">
      <c r="A19" s="32" t="s">
        <v>71</v>
      </c>
      <c r="B19" s="32">
        <v>68</v>
      </c>
      <c r="C19" s="32" t="s">
        <v>117</v>
      </c>
      <c r="D19" s="32" t="s">
        <v>118</v>
      </c>
      <c r="E19" s="33">
        <v>0.53900000000000003</v>
      </c>
      <c r="F19" s="33">
        <v>29.118000000000002</v>
      </c>
      <c r="G19" s="33">
        <v>0.11299600000000001</v>
      </c>
      <c r="H19" s="33">
        <v>1.3345499999999999</v>
      </c>
      <c r="I19" s="33">
        <v>53.707499999999989</v>
      </c>
      <c r="J19" s="33">
        <v>9.2314000000000007</v>
      </c>
      <c r="K19" s="33">
        <v>7.6831999999999994</v>
      </c>
      <c r="L19" s="33">
        <v>35.700000000000003</v>
      </c>
      <c r="M19" s="33">
        <v>61.6</v>
      </c>
      <c r="N19" s="33">
        <v>2.4900000000000002</v>
      </c>
      <c r="O19" s="33">
        <v>7.13</v>
      </c>
      <c r="P19" s="33">
        <v>1.99</v>
      </c>
      <c r="Q19" s="33">
        <v>2.83</v>
      </c>
      <c r="R19" s="33">
        <v>57.1</v>
      </c>
      <c r="S19" s="33">
        <v>38.1</v>
      </c>
      <c r="T19" s="38">
        <v>3663</v>
      </c>
    </row>
    <row r="20" spans="1:20" s="32" customFormat="1" x14ac:dyDescent="0.2">
      <c r="A20" s="32" t="s">
        <v>12</v>
      </c>
      <c r="B20" s="32">
        <v>4.5</v>
      </c>
      <c r="C20" s="32" t="s">
        <v>117</v>
      </c>
      <c r="D20" s="32" t="s">
        <v>119</v>
      </c>
      <c r="E20" s="33">
        <v>1.8</v>
      </c>
      <c r="F20" s="33">
        <v>20.823600000000003</v>
      </c>
      <c r="G20" s="33">
        <v>17.64</v>
      </c>
      <c r="H20" s="33">
        <v>5.1847500000000002</v>
      </c>
      <c r="I20" s="33">
        <v>50.910899999999998</v>
      </c>
      <c r="J20" s="33">
        <v>2.8967700000000001</v>
      </c>
      <c r="K20" s="33">
        <v>5.7510000000000003</v>
      </c>
      <c r="L20" s="33">
        <v>16.5</v>
      </c>
      <c r="M20" s="33">
        <v>74.2</v>
      </c>
      <c r="N20" s="33">
        <v>6.63</v>
      </c>
      <c r="O20" s="33">
        <v>2.8</v>
      </c>
      <c r="P20" s="33">
        <v>30.3</v>
      </c>
      <c r="Q20" s="33">
        <v>17.100000000000001</v>
      </c>
      <c r="R20" s="33">
        <v>18.5</v>
      </c>
      <c r="S20" s="33">
        <v>34.1</v>
      </c>
      <c r="T20" s="38">
        <v>3504</v>
      </c>
    </row>
    <row r="21" spans="1:20" s="32" customFormat="1" x14ac:dyDescent="0.2">
      <c r="A21" s="32" t="s">
        <v>11</v>
      </c>
      <c r="B21" s="32">
        <v>5</v>
      </c>
      <c r="C21" s="32" t="s">
        <v>117</v>
      </c>
      <c r="D21" s="32" t="s">
        <v>119</v>
      </c>
      <c r="E21" s="33">
        <v>0.64300000000000002</v>
      </c>
      <c r="F21" s="33">
        <v>56.658000000000001</v>
      </c>
      <c r="G21" s="33">
        <v>7.5680800000000001</v>
      </c>
      <c r="H21" s="33">
        <v>6.2539999999999996</v>
      </c>
      <c r="I21" s="33">
        <v>43.07</v>
      </c>
      <c r="J21" s="33">
        <v>12.2525</v>
      </c>
      <c r="K21" s="33">
        <v>12.9163</v>
      </c>
      <c r="L21" s="33">
        <v>33.6</v>
      </c>
      <c r="M21" s="33">
        <v>58.4</v>
      </c>
      <c r="N21" s="33">
        <v>6.41</v>
      </c>
      <c r="O21" s="33">
        <v>4.4400000000000004</v>
      </c>
      <c r="P21" s="33">
        <v>17.2</v>
      </c>
      <c r="Q21" s="33">
        <v>15.5</v>
      </c>
      <c r="R21" s="33">
        <v>45.4</v>
      </c>
      <c r="S21" s="33">
        <v>21.8</v>
      </c>
      <c r="T21" s="38">
        <v>1687</v>
      </c>
    </row>
    <row r="22" spans="1:20" s="32" customFormat="1" x14ac:dyDescent="0.2">
      <c r="A22" s="32" t="s">
        <v>14</v>
      </c>
      <c r="B22" s="32">
        <v>4</v>
      </c>
      <c r="C22" s="32" t="s">
        <v>117</v>
      </c>
      <c r="D22" s="32" t="s">
        <v>119</v>
      </c>
      <c r="E22" s="33">
        <v>0.253</v>
      </c>
      <c r="F22" s="33">
        <v>39.422000000000004</v>
      </c>
      <c r="G22" s="33">
        <v>4.3708399999999994</v>
      </c>
      <c r="H22" s="33">
        <v>1.9398</v>
      </c>
      <c r="I22" s="33">
        <v>63.903599999999997</v>
      </c>
      <c r="J22" s="33">
        <v>9.773200000000001</v>
      </c>
      <c r="K22" s="33">
        <v>6.8807999999999989</v>
      </c>
      <c r="L22" s="33">
        <v>9.58</v>
      </c>
      <c r="M22" s="33">
        <v>76.900000000000006</v>
      </c>
      <c r="N22" s="33">
        <v>7.5</v>
      </c>
      <c r="O22" s="33">
        <v>3.38</v>
      </c>
      <c r="P22" s="33">
        <v>18.8</v>
      </c>
      <c r="Q22" s="33">
        <v>27.2</v>
      </c>
      <c r="R22" s="33">
        <v>42.1</v>
      </c>
      <c r="S22" s="33">
        <v>11.9</v>
      </c>
      <c r="T22" s="38">
        <v>1172</v>
      </c>
    </row>
    <row r="23" spans="1:20" s="32" customFormat="1" x14ac:dyDescent="0.2">
      <c r="A23" s="32" t="s">
        <v>92</v>
      </c>
      <c r="B23" s="32">
        <v>21</v>
      </c>
      <c r="C23" s="32" t="s">
        <v>117</v>
      </c>
      <c r="D23" s="32" t="s">
        <v>118</v>
      </c>
      <c r="E23" s="33">
        <v>0.46650000000000003</v>
      </c>
      <c r="F23" s="33">
        <v>65.605599999999995</v>
      </c>
      <c r="G23" s="33">
        <v>0.67242500000000005</v>
      </c>
      <c r="H23" s="33">
        <v>1.9430400000000003</v>
      </c>
      <c r="I23" s="33">
        <v>56.925000000000004</v>
      </c>
      <c r="J23" s="33">
        <v>7.7518250000000002</v>
      </c>
      <c r="K23" s="33">
        <v>6.5206</v>
      </c>
      <c r="L23" s="33">
        <v>56.35</v>
      </c>
      <c r="M23" s="33">
        <v>38.15</v>
      </c>
      <c r="N23" s="33">
        <v>3.915</v>
      </c>
      <c r="O23" s="33">
        <v>1.5150000000000001</v>
      </c>
      <c r="P23" s="33">
        <v>12.95</v>
      </c>
      <c r="Q23" s="33">
        <v>6.43</v>
      </c>
      <c r="R23" s="33">
        <v>26.25</v>
      </c>
      <c r="S23" s="33">
        <v>54.349999999999994</v>
      </c>
      <c r="T23" s="38">
        <v>980</v>
      </c>
    </row>
    <row r="24" spans="1:20" s="32" customFormat="1" x14ac:dyDescent="0.2">
      <c r="A24" s="32" t="s">
        <v>72</v>
      </c>
      <c r="B24" s="32">
        <v>71</v>
      </c>
      <c r="C24" s="32" t="s">
        <v>117</v>
      </c>
      <c r="D24" s="32" t="s">
        <v>118</v>
      </c>
      <c r="E24" s="33">
        <v>8.8999999999999996E-2</v>
      </c>
      <c r="F24" s="33">
        <v>43.064999999999998</v>
      </c>
      <c r="G24" s="33">
        <v>9.6390000000000017E-3</v>
      </c>
      <c r="H24" s="33">
        <v>0.66776000000000013</v>
      </c>
      <c r="I24" s="33">
        <v>33.0443</v>
      </c>
      <c r="J24" s="33">
        <v>14.118499999999999</v>
      </c>
      <c r="K24" s="33">
        <v>9.0815999999999999</v>
      </c>
      <c r="L24" s="33">
        <v>46.5</v>
      </c>
      <c r="M24" s="33">
        <v>41.9</v>
      </c>
      <c r="N24" s="33">
        <v>7.25</v>
      </c>
      <c r="O24" s="33">
        <v>3.27</v>
      </c>
      <c r="P24" s="33">
        <v>8.59</v>
      </c>
      <c r="Q24" s="33">
        <v>5.54</v>
      </c>
      <c r="R24" s="33">
        <v>46.9</v>
      </c>
      <c r="S24" s="33">
        <v>38.9</v>
      </c>
      <c r="T24" s="38">
        <v>1438</v>
      </c>
    </row>
    <row r="25" spans="1:20" s="32" customFormat="1" x14ac:dyDescent="0.2">
      <c r="A25" s="32" t="s">
        <v>58</v>
      </c>
      <c r="B25" s="32">
        <v>34</v>
      </c>
      <c r="C25" s="32" t="s">
        <v>117</v>
      </c>
      <c r="D25" s="32" t="s">
        <v>118</v>
      </c>
      <c r="E25" s="33">
        <v>0.8</v>
      </c>
      <c r="F25" s="33">
        <v>42.825400000000002</v>
      </c>
      <c r="G25" s="33">
        <v>1.1384099999999999</v>
      </c>
      <c r="H25" s="33">
        <v>0.76736000000000004</v>
      </c>
      <c r="I25" s="33">
        <v>30.345600000000001</v>
      </c>
      <c r="J25" s="33">
        <v>28.644299999999998</v>
      </c>
      <c r="K25" s="33">
        <v>12.487500000000001</v>
      </c>
      <c r="L25" s="33">
        <v>17.2</v>
      </c>
      <c r="M25" s="33">
        <v>72.3</v>
      </c>
      <c r="N25" s="33">
        <v>7.79</v>
      </c>
      <c r="O25" s="33">
        <v>30.4</v>
      </c>
      <c r="P25" s="33">
        <v>7.83</v>
      </c>
      <c r="Q25" s="33">
        <v>4.7</v>
      </c>
      <c r="R25" s="33">
        <v>46.6</v>
      </c>
      <c r="S25" s="33">
        <v>40.9</v>
      </c>
      <c r="T25" s="38">
        <v>1064</v>
      </c>
    </row>
    <row r="26" spans="1:20" s="32" customFormat="1" x14ac:dyDescent="0.2">
      <c r="A26" s="32" t="s">
        <v>89</v>
      </c>
      <c r="B26" s="32">
        <v>53</v>
      </c>
      <c r="C26" s="32" t="s">
        <v>117</v>
      </c>
      <c r="D26" s="32" t="s">
        <v>118</v>
      </c>
      <c r="E26" s="33">
        <v>4.6100000000000003</v>
      </c>
      <c r="F26" s="33">
        <v>26.272399999999998</v>
      </c>
      <c r="G26" s="33">
        <v>0.17216099999999998</v>
      </c>
      <c r="H26" s="33">
        <v>9.6782000000000007E-2</v>
      </c>
      <c r="I26" s="33">
        <v>39.783200000000001</v>
      </c>
      <c r="J26" s="33">
        <v>29.389499999999998</v>
      </c>
      <c r="K26" s="33">
        <v>8.3407999999999998</v>
      </c>
      <c r="L26" s="33">
        <v>37.9</v>
      </c>
      <c r="M26" s="33">
        <v>49.2</v>
      </c>
      <c r="N26" s="33">
        <v>9.2100000000000009</v>
      </c>
      <c r="O26" s="33">
        <v>64.5</v>
      </c>
      <c r="P26" s="33">
        <v>21</v>
      </c>
      <c r="Q26" s="33">
        <v>70.599999999999994</v>
      </c>
      <c r="R26" s="33">
        <v>6.84</v>
      </c>
      <c r="S26" s="33">
        <v>1.48</v>
      </c>
      <c r="T26" s="38">
        <v>1706</v>
      </c>
    </row>
    <row r="27" spans="1:20" s="32" customFormat="1" x14ac:dyDescent="0.2">
      <c r="A27" s="32" t="s">
        <v>90</v>
      </c>
      <c r="B27" s="32">
        <v>52</v>
      </c>
      <c r="C27" s="32" t="s">
        <v>117</v>
      </c>
      <c r="D27" s="32" t="s">
        <v>118</v>
      </c>
      <c r="E27" s="33">
        <v>4.17</v>
      </c>
      <c r="F27" s="33">
        <v>31.033599999999996</v>
      </c>
      <c r="G27" s="33">
        <v>0.29063600000000001</v>
      </c>
      <c r="H27" s="33">
        <v>0.49868000000000001</v>
      </c>
      <c r="I27" s="33">
        <v>67.995200000000011</v>
      </c>
      <c r="J27" s="33">
        <v>6.5242300000000002</v>
      </c>
      <c r="K27" s="33">
        <v>5.9262000000000015</v>
      </c>
      <c r="L27" s="33">
        <v>29.2</v>
      </c>
      <c r="M27" s="33">
        <v>66</v>
      </c>
      <c r="N27" s="33">
        <v>1.72</v>
      </c>
      <c r="O27" s="33">
        <v>2.89</v>
      </c>
      <c r="P27" s="33">
        <v>3.43</v>
      </c>
      <c r="Q27" s="33">
        <v>12.1</v>
      </c>
      <c r="R27" s="33">
        <v>56</v>
      </c>
      <c r="S27" s="33">
        <v>28.5</v>
      </c>
      <c r="T27" s="38">
        <v>992</v>
      </c>
    </row>
    <row r="28" spans="1:20" s="32" customFormat="1" x14ac:dyDescent="0.2">
      <c r="A28" s="32" t="s">
        <v>90</v>
      </c>
      <c r="B28" s="32">
        <v>52</v>
      </c>
      <c r="C28" s="32" t="s">
        <v>120</v>
      </c>
      <c r="D28" s="32" t="s">
        <v>118</v>
      </c>
      <c r="E28" s="33">
        <v>0.34499999999999997</v>
      </c>
      <c r="F28" s="33">
        <v>2.0407600000000001</v>
      </c>
      <c r="G28" s="33">
        <v>0</v>
      </c>
      <c r="H28" s="33">
        <v>1.3572</v>
      </c>
      <c r="I28" s="33">
        <v>79.691999999999993</v>
      </c>
      <c r="J28" s="33">
        <v>1.9</v>
      </c>
      <c r="K28" s="33">
        <v>2.1675</v>
      </c>
      <c r="L28" s="33">
        <v>0</v>
      </c>
      <c r="M28" s="33">
        <v>87.5</v>
      </c>
      <c r="N28" s="33">
        <v>12.5</v>
      </c>
      <c r="O28" s="33">
        <v>25</v>
      </c>
      <c r="P28" s="33">
        <v>0</v>
      </c>
      <c r="Q28" s="33">
        <v>12.5</v>
      </c>
      <c r="R28" s="33">
        <v>75</v>
      </c>
      <c r="S28" s="33">
        <v>12.5</v>
      </c>
      <c r="T28" s="38">
        <v>1181</v>
      </c>
    </row>
    <row r="29" spans="1:20" s="32" customFormat="1" x14ac:dyDescent="0.2">
      <c r="A29" s="32" t="s">
        <v>73</v>
      </c>
      <c r="B29" s="32">
        <v>41</v>
      </c>
      <c r="C29" s="32" t="s">
        <v>117</v>
      </c>
      <c r="D29" s="32" t="s">
        <v>118</v>
      </c>
      <c r="E29" s="33">
        <v>0.626</v>
      </c>
      <c r="F29" s="33">
        <v>51.23</v>
      </c>
      <c r="G29" s="33">
        <v>0.39146799999999998</v>
      </c>
      <c r="H29" s="33">
        <v>1.76</v>
      </c>
      <c r="I29" s="33">
        <v>37.85</v>
      </c>
      <c r="J29" s="33">
        <v>15.598699999999999</v>
      </c>
      <c r="K29" s="33">
        <v>20.128</v>
      </c>
      <c r="L29" s="33">
        <v>33.4</v>
      </c>
      <c r="M29" s="33">
        <v>58.4</v>
      </c>
      <c r="N29" s="33">
        <v>6.17</v>
      </c>
      <c r="O29" s="33">
        <v>2.2799999999999998</v>
      </c>
      <c r="P29" s="33">
        <v>8.5299999999999994</v>
      </c>
      <c r="Q29" s="33">
        <v>6.76</v>
      </c>
      <c r="R29" s="33">
        <v>44.7</v>
      </c>
      <c r="S29" s="33">
        <v>40</v>
      </c>
      <c r="T29" s="38">
        <v>2690</v>
      </c>
    </row>
    <row r="30" spans="1:20" s="32" customFormat="1" x14ac:dyDescent="0.2">
      <c r="A30" s="32" t="s">
        <v>49</v>
      </c>
      <c r="B30" s="32">
        <v>70</v>
      </c>
      <c r="C30" s="32" t="s">
        <v>117</v>
      </c>
      <c r="D30" s="32" t="s">
        <v>118</v>
      </c>
      <c r="E30" s="33">
        <v>0.438</v>
      </c>
      <c r="F30" s="33">
        <v>58.643999999999998</v>
      </c>
      <c r="G30" s="33">
        <v>3.8435299999999999</v>
      </c>
      <c r="H30" s="33">
        <v>0.78792000000000006</v>
      </c>
      <c r="I30" s="33">
        <v>30.38</v>
      </c>
      <c r="J30" s="33">
        <v>12.5166</v>
      </c>
      <c r="K30" s="33">
        <v>17.715599999999998</v>
      </c>
      <c r="L30" s="33">
        <v>40.1</v>
      </c>
      <c r="M30" s="33">
        <v>56.8</v>
      </c>
      <c r="N30" s="33">
        <v>2.4900000000000002</v>
      </c>
      <c r="O30" s="33">
        <v>2.74</v>
      </c>
      <c r="P30" s="33">
        <v>3.47</v>
      </c>
      <c r="Q30" s="33">
        <v>3.96</v>
      </c>
      <c r="R30" s="33">
        <v>48.4</v>
      </c>
      <c r="S30" s="33">
        <v>44.2</v>
      </c>
      <c r="T30" s="38">
        <v>3518</v>
      </c>
    </row>
    <row r="31" spans="1:20" s="32" customFormat="1" x14ac:dyDescent="0.2">
      <c r="A31" s="32" t="s">
        <v>91</v>
      </c>
      <c r="B31" s="32">
        <v>61</v>
      </c>
      <c r="C31" s="32" t="s">
        <v>117</v>
      </c>
      <c r="D31" s="32" t="s">
        <v>118</v>
      </c>
      <c r="E31" s="33">
        <v>0.29249999999999998</v>
      </c>
      <c r="F31" s="33">
        <v>53.715900000000005</v>
      </c>
      <c r="G31" s="33">
        <v>0.11838779999999999</v>
      </c>
      <c r="H31" s="33">
        <v>1.4767749999999999</v>
      </c>
      <c r="I31" s="33">
        <v>38.189250000000001</v>
      </c>
      <c r="J31" s="33">
        <v>12.403550000000003</v>
      </c>
      <c r="K31" s="33">
        <v>15.489349999999998</v>
      </c>
      <c r="L31" s="33">
        <v>52.5</v>
      </c>
      <c r="M31" s="33">
        <v>45.75</v>
      </c>
      <c r="N31" s="33">
        <v>1.2450000000000001</v>
      </c>
      <c r="O31" s="33">
        <v>2.9550000000000001</v>
      </c>
      <c r="P31" s="33">
        <v>40.299999999999997</v>
      </c>
      <c r="Q31" s="33">
        <v>42.849999999999994</v>
      </c>
      <c r="R31" s="33">
        <v>9.4</v>
      </c>
      <c r="S31" s="33">
        <v>7.3949999999999996</v>
      </c>
      <c r="T31" s="38">
        <v>2202</v>
      </c>
    </row>
    <row r="32" spans="1:20" s="32" customFormat="1" x14ac:dyDescent="0.2">
      <c r="A32" s="32" t="s">
        <v>91</v>
      </c>
      <c r="B32" s="32">
        <v>61</v>
      </c>
      <c r="C32" s="32" t="s">
        <v>120</v>
      </c>
      <c r="D32" s="32" t="s">
        <v>118</v>
      </c>
      <c r="E32" s="33">
        <v>0</v>
      </c>
      <c r="F32" s="33">
        <v>12.8628</v>
      </c>
      <c r="G32" s="33">
        <v>2.1899999999999999E-2</v>
      </c>
      <c r="H32" s="33">
        <v>0.48133799999999999</v>
      </c>
      <c r="I32" s="33">
        <v>43.929600000000001</v>
      </c>
      <c r="J32" s="33">
        <v>2.0101999999999998</v>
      </c>
      <c r="K32" s="33">
        <v>2.5992999999999999</v>
      </c>
      <c r="L32" s="33">
        <v>12.6</v>
      </c>
      <c r="M32" s="33">
        <v>63.9</v>
      </c>
      <c r="N32" s="33">
        <v>7.56</v>
      </c>
      <c r="O32" s="33">
        <v>16</v>
      </c>
      <c r="P32" s="33">
        <v>30.3</v>
      </c>
      <c r="Q32" s="33">
        <v>59.7</v>
      </c>
      <c r="R32" s="33">
        <v>7.56</v>
      </c>
      <c r="S32" s="33">
        <v>2.52</v>
      </c>
      <c r="T32" s="38">
        <v>1625</v>
      </c>
    </row>
    <row r="33" spans="1:20" s="32" customFormat="1" x14ac:dyDescent="0.2">
      <c r="A33" s="32" t="s">
        <v>30</v>
      </c>
      <c r="B33" s="32">
        <v>83</v>
      </c>
      <c r="C33" s="32" t="s">
        <v>117</v>
      </c>
      <c r="D33" s="32" t="s">
        <v>118</v>
      </c>
      <c r="E33" s="33">
        <v>0.24099999999999999</v>
      </c>
      <c r="F33" s="33">
        <v>30.09</v>
      </c>
      <c r="G33" s="33">
        <v>2.3176799999999997E-2</v>
      </c>
      <c r="H33" s="33">
        <v>0.47432399999999997</v>
      </c>
      <c r="I33" s="33">
        <v>42.074399999999997</v>
      </c>
      <c r="J33" s="33">
        <v>23.133600000000001</v>
      </c>
      <c r="K33" s="33">
        <v>5.4714999999999998</v>
      </c>
      <c r="L33" s="33">
        <v>43.7</v>
      </c>
      <c r="M33" s="33">
        <v>50.8</v>
      </c>
      <c r="N33" s="33">
        <v>4.9400000000000004</v>
      </c>
      <c r="O33" s="33">
        <v>3.54</v>
      </c>
      <c r="P33" s="33">
        <v>4.72</v>
      </c>
      <c r="Q33" s="33">
        <v>2.06</v>
      </c>
      <c r="R33" s="33">
        <v>16.7</v>
      </c>
      <c r="S33" s="33">
        <v>76.599999999999994</v>
      </c>
      <c r="T33" s="38">
        <v>2830</v>
      </c>
    </row>
    <row r="34" spans="1:20" s="32" customFormat="1" x14ac:dyDescent="0.2">
      <c r="A34" s="32" t="s">
        <v>79</v>
      </c>
      <c r="B34" s="32">
        <v>86</v>
      </c>
      <c r="C34" s="32" t="s">
        <v>117</v>
      </c>
      <c r="D34" s="32" t="s">
        <v>118</v>
      </c>
      <c r="E34" s="33">
        <v>0.255</v>
      </c>
      <c r="F34" s="33">
        <v>50.75719999999999</v>
      </c>
      <c r="G34" s="33">
        <v>0.21825</v>
      </c>
      <c r="H34" s="33">
        <v>4.6332000000000005E-2</v>
      </c>
      <c r="I34" s="33">
        <v>2.2809600000000003</v>
      </c>
      <c r="J34" s="33">
        <v>14.1708</v>
      </c>
      <c r="K34" s="33">
        <v>9.2919999999999998</v>
      </c>
      <c r="L34" s="33">
        <v>71.400000000000006</v>
      </c>
      <c r="M34" s="33">
        <v>27.9</v>
      </c>
      <c r="N34" s="33">
        <v>0.16200000000000001</v>
      </c>
      <c r="O34" s="33">
        <v>12.5</v>
      </c>
      <c r="P34" s="33">
        <v>0.5</v>
      </c>
      <c r="Q34" s="33">
        <v>0.23</v>
      </c>
      <c r="R34" s="33">
        <v>28.1</v>
      </c>
      <c r="S34" s="33">
        <v>71.2</v>
      </c>
      <c r="T34" s="38">
        <v>3313</v>
      </c>
    </row>
    <row r="35" spans="1:20" s="32" customFormat="1" x14ac:dyDescent="0.2">
      <c r="A35" s="32" t="s">
        <v>75</v>
      </c>
      <c r="B35" s="32">
        <v>59</v>
      </c>
      <c r="C35" s="32" t="s">
        <v>117</v>
      </c>
      <c r="D35" s="32" t="s">
        <v>118</v>
      </c>
      <c r="E35" s="33">
        <v>1.91</v>
      </c>
      <c r="F35" s="33">
        <v>61.720399999999998</v>
      </c>
      <c r="G35" s="33">
        <v>0.128048</v>
      </c>
      <c r="H35" s="33">
        <v>1.5369999999999999</v>
      </c>
      <c r="I35" s="33">
        <v>49.996000000000002</v>
      </c>
      <c r="J35" s="33">
        <v>24.6</v>
      </c>
      <c r="K35" s="33">
        <v>6.7638999999999996</v>
      </c>
      <c r="L35" s="33">
        <v>29.9</v>
      </c>
      <c r="M35" s="33">
        <v>67.5</v>
      </c>
      <c r="N35" s="33">
        <v>1.75</v>
      </c>
      <c r="O35" s="33">
        <v>1.48</v>
      </c>
      <c r="P35" s="33">
        <v>12.2</v>
      </c>
      <c r="Q35" s="33">
        <v>1.1399999999999999</v>
      </c>
      <c r="R35" s="33">
        <v>6.17</v>
      </c>
      <c r="S35" s="33">
        <v>80.5</v>
      </c>
      <c r="T35" s="38">
        <v>1282</v>
      </c>
    </row>
    <row r="36" spans="1:20" s="32" customFormat="1" x14ac:dyDescent="0.2">
      <c r="A36" s="32" t="s">
        <v>85</v>
      </c>
      <c r="B36" s="32">
        <v>91</v>
      </c>
      <c r="C36" s="32" t="s">
        <v>117</v>
      </c>
      <c r="D36" s="32" t="s">
        <v>118</v>
      </c>
      <c r="E36" s="33">
        <v>0.879</v>
      </c>
      <c r="F36" s="33">
        <v>57.518999999999998</v>
      </c>
      <c r="G36" s="33">
        <v>0.29182799999999998</v>
      </c>
      <c r="H36" s="33">
        <v>0.59063999999999994</v>
      </c>
      <c r="I36" s="33">
        <v>15.327199999999998</v>
      </c>
      <c r="J36" s="33">
        <v>21.6144</v>
      </c>
      <c r="K36" s="33">
        <v>16.0016</v>
      </c>
      <c r="L36" s="33">
        <v>58.5</v>
      </c>
      <c r="M36" s="33">
        <v>39.4</v>
      </c>
      <c r="N36" s="33">
        <v>1.81</v>
      </c>
      <c r="O36" s="33">
        <v>6.32</v>
      </c>
      <c r="P36" s="33">
        <v>3.75</v>
      </c>
      <c r="Q36" s="33">
        <v>0.19700000000000001</v>
      </c>
      <c r="R36" s="33">
        <v>5.44</v>
      </c>
      <c r="S36" s="33">
        <v>90.6</v>
      </c>
      <c r="T36" s="38">
        <v>2220</v>
      </c>
    </row>
    <row r="37" spans="1:20" s="32" customFormat="1" x14ac:dyDescent="0.2">
      <c r="A37" s="32" t="s">
        <v>85</v>
      </c>
      <c r="B37" s="32">
        <v>91</v>
      </c>
      <c r="C37" s="32" t="s">
        <v>120</v>
      </c>
      <c r="D37" s="32" t="s">
        <v>118</v>
      </c>
      <c r="E37" s="33">
        <v>1.01</v>
      </c>
      <c r="F37" s="33">
        <v>2.2429600000000001</v>
      </c>
      <c r="G37" s="33">
        <v>0.52820299999999998</v>
      </c>
      <c r="H37" s="33">
        <v>8.1795000000000009</v>
      </c>
      <c r="I37" s="33">
        <v>39.500999999999998</v>
      </c>
      <c r="J37" s="33">
        <v>10.604000000000001</v>
      </c>
      <c r="K37" s="33">
        <v>4.6112000000000002</v>
      </c>
      <c r="L37" s="33">
        <v>15.7</v>
      </c>
      <c r="M37" s="33">
        <v>61.4</v>
      </c>
      <c r="N37" s="33">
        <v>20</v>
      </c>
      <c r="O37" s="33">
        <v>2.86</v>
      </c>
      <c r="P37" s="33">
        <v>34.299999999999997</v>
      </c>
      <c r="Q37" s="33">
        <v>0</v>
      </c>
      <c r="R37" s="33">
        <v>4.29</v>
      </c>
      <c r="S37" s="33">
        <v>61.4</v>
      </c>
      <c r="T37" s="38">
        <v>1565</v>
      </c>
    </row>
    <row r="38" spans="1:20" s="32" customFormat="1" x14ac:dyDescent="0.2">
      <c r="A38" s="32" t="s">
        <v>26</v>
      </c>
      <c r="B38" s="32">
        <v>67</v>
      </c>
      <c r="C38" s="32" t="s">
        <v>117</v>
      </c>
      <c r="D38" s="32" t="s">
        <v>118</v>
      </c>
      <c r="E38" s="33">
        <v>0.40600000000000003</v>
      </c>
      <c r="F38" s="33">
        <v>62.511600000000001</v>
      </c>
      <c r="G38" s="33">
        <v>0.17521599999999998</v>
      </c>
      <c r="H38" s="33">
        <v>1.2307399999999999</v>
      </c>
      <c r="I38" s="33">
        <v>38.698099999999997</v>
      </c>
      <c r="J38" s="33">
        <v>10.411200000000001</v>
      </c>
      <c r="K38" s="33">
        <v>25.373199999999997</v>
      </c>
      <c r="L38" s="33">
        <v>58.6</v>
      </c>
      <c r="M38" s="33">
        <v>38.799999999999997</v>
      </c>
      <c r="N38" s="33">
        <v>1.07</v>
      </c>
      <c r="O38" s="33">
        <v>2.5</v>
      </c>
      <c r="P38" s="33">
        <v>2.04</v>
      </c>
      <c r="Q38" s="33">
        <v>3.24</v>
      </c>
      <c r="R38" s="33">
        <v>52.6</v>
      </c>
      <c r="S38" s="33">
        <v>42.1</v>
      </c>
      <c r="T38" s="38">
        <v>2514</v>
      </c>
    </row>
    <row r="39" spans="1:20" s="32" customFormat="1" x14ac:dyDescent="0.2">
      <c r="A39" s="32" t="s">
        <v>32</v>
      </c>
      <c r="B39" s="32">
        <v>57</v>
      </c>
      <c r="C39" s="32" t="s">
        <v>117</v>
      </c>
      <c r="D39" s="32" t="s">
        <v>118</v>
      </c>
      <c r="E39" s="33">
        <v>0.65600000000000003</v>
      </c>
      <c r="F39" s="33">
        <v>40.828000000000003</v>
      </c>
      <c r="G39" s="33">
        <v>2.03762</v>
      </c>
      <c r="H39" s="33">
        <v>1.8634500000000001</v>
      </c>
      <c r="I39" s="33">
        <v>26.789399999999997</v>
      </c>
      <c r="J39" s="33">
        <v>24.085599999999999</v>
      </c>
      <c r="K39" s="33">
        <v>10.261000000000001</v>
      </c>
      <c r="L39" s="33">
        <v>46.2</v>
      </c>
      <c r="M39" s="33">
        <v>46.1</v>
      </c>
      <c r="N39" s="33">
        <v>6.06</v>
      </c>
      <c r="O39" s="33">
        <v>10.1</v>
      </c>
      <c r="P39" s="33">
        <v>4.63</v>
      </c>
      <c r="Q39" s="33">
        <v>3.87</v>
      </c>
      <c r="R39" s="33">
        <v>41.2</v>
      </c>
      <c r="S39" s="33">
        <v>50.3</v>
      </c>
      <c r="T39" s="38">
        <v>2118</v>
      </c>
    </row>
    <row r="40" spans="1:20" s="32" customFormat="1" x14ac:dyDescent="0.2">
      <c r="A40" s="32" t="s">
        <v>33</v>
      </c>
      <c r="B40" s="32">
        <v>78</v>
      </c>
      <c r="C40" s="32" t="s">
        <v>117</v>
      </c>
      <c r="D40" s="32" t="s">
        <v>118</v>
      </c>
      <c r="E40" s="33">
        <v>0.43</v>
      </c>
      <c r="F40" s="33">
        <v>41.613</v>
      </c>
      <c r="G40" s="33">
        <v>0.16275000000000003</v>
      </c>
      <c r="H40" s="33">
        <v>0.14985999999999999</v>
      </c>
      <c r="I40" s="33">
        <v>22.3492</v>
      </c>
      <c r="J40" s="33">
        <v>28.914000000000001</v>
      </c>
      <c r="K40" s="33">
        <v>22.6919</v>
      </c>
      <c r="L40" s="33">
        <v>38.6</v>
      </c>
      <c r="M40" s="33">
        <v>55.6</v>
      </c>
      <c r="N40" s="33">
        <v>5.34</v>
      </c>
      <c r="O40" s="33">
        <v>5.72</v>
      </c>
      <c r="P40" s="33">
        <v>4.8</v>
      </c>
      <c r="Q40" s="33">
        <v>3.6</v>
      </c>
      <c r="R40" s="33">
        <v>60.5</v>
      </c>
      <c r="S40" s="33">
        <v>31.1</v>
      </c>
      <c r="T40" s="38">
        <v>2189</v>
      </c>
    </row>
    <row r="41" spans="1:20" s="32" customFormat="1" x14ac:dyDescent="0.2">
      <c r="A41" s="32" t="s">
        <v>21</v>
      </c>
      <c r="B41" s="32">
        <v>84</v>
      </c>
      <c r="C41" s="32" t="s">
        <v>117</v>
      </c>
      <c r="D41" s="32" t="s">
        <v>118</v>
      </c>
      <c r="E41" s="33">
        <v>0.84799999999999998</v>
      </c>
      <c r="F41" s="33">
        <v>60.134999999999998</v>
      </c>
      <c r="G41" s="33">
        <v>3.1413999999999997E-2</v>
      </c>
      <c r="H41" s="33">
        <v>2.70512</v>
      </c>
      <c r="I41" s="33">
        <v>59.142600000000002</v>
      </c>
      <c r="J41" s="33">
        <v>11.4452</v>
      </c>
      <c r="K41" s="33">
        <v>6.7626000000000008</v>
      </c>
      <c r="L41" s="33">
        <v>33.1</v>
      </c>
      <c r="M41" s="33">
        <v>59.4</v>
      </c>
      <c r="N41" s="33">
        <v>5.93</v>
      </c>
      <c r="O41" s="33">
        <v>6.26</v>
      </c>
      <c r="P41" s="33">
        <v>12.4</v>
      </c>
      <c r="Q41" s="33">
        <v>17.3</v>
      </c>
      <c r="R41" s="33">
        <v>36.1</v>
      </c>
      <c r="S41" s="33">
        <v>34.299999999999997</v>
      </c>
      <c r="T41" s="38">
        <v>1684</v>
      </c>
    </row>
    <row r="42" spans="1:20" s="32" customFormat="1" x14ac:dyDescent="0.2">
      <c r="A42" s="32" t="s">
        <v>22</v>
      </c>
      <c r="B42" s="32">
        <v>58</v>
      </c>
      <c r="C42" s="32" t="s">
        <v>117</v>
      </c>
      <c r="D42" s="32" t="s">
        <v>118</v>
      </c>
      <c r="E42" s="33">
        <v>1.06</v>
      </c>
      <c r="F42" s="33">
        <v>53.499600000000001</v>
      </c>
      <c r="G42" s="33">
        <v>0.1323</v>
      </c>
      <c r="H42" s="33">
        <v>3.8199800000000006</v>
      </c>
      <c r="I42" s="33">
        <v>41.440399999999997</v>
      </c>
      <c r="J42" s="33">
        <v>19.053599999999999</v>
      </c>
      <c r="K42" s="33">
        <v>10.183499999999999</v>
      </c>
      <c r="L42" s="33">
        <v>33.9</v>
      </c>
      <c r="M42" s="33">
        <v>63.3</v>
      </c>
      <c r="N42" s="33">
        <v>2.79</v>
      </c>
      <c r="O42" s="33">
        <v>4.54</v>
      </c>
      <c r="P42" s="33">
        <v>3.77</v>
      </c>
      <c r="Q42" s="33">
        <v>6.99</v>
      </c>
      <c r="R42" s="33">
        <v>44.6</v>
      </c>
      <c r="S42" s="33">
        <v>44.6</v>
      </c>
      <c r="T42" s="38">
        <v>1583</v>
      </c>
    </row>
    <row r="43" spans="1:20" s="32" customFormat="1" x14ac:dyDescent="0.2">
      <c r="A43" s="32" t="s">
        <v>93</v>
      </c>
      <c r="B43" s="32">
        <v>51</v>
      </c>
      <c r="C43" s="32" t="s">
        <v>117</v>
      </c>
      <c r="D43" s="32" t="s">
        <v>118</v>
      </c>
      <c r="E43" s="33">
        <v>9.02</v>
      </c>
      <c r="F43" s="33">
        <v>24.906600000000005</v>
      </c>
      <c r="G43" s="33">
        <v>0.21410999999999997</v>
      </c>
      <c r="H43" s="33">
        <v>0.44018999999999997</v>
      </c>
      <c r="I43" s="33">
        <v>56.621700000000004</v>
      </c>
      <c r="J43" s="33">
        <v>9.3009000000000004</v>
      </c>
      <c r="K43" s="33">
        <v>5.5476000000000001</v>
      </c>
      <c r="L43" s="33">
        <v>35.1</v>
      </c>
      <c r="M43" s="33">
        <v>54.6</v>
      </c>
      <c r="N43" s="33">
        <v>6.4</v>
      </c>
      <c r="O43" s="33">
        <v>4.1399999999999997</v>
      </c>
      <c r="P43" s="33">
        <v>24.6</v>
      </c>
      <c r="Q43" s="33">
        <v>15.8</v>
      </c>
      <c r="R43" s="33">
        <v>28.4</v>
      </c>
      <c r="S43" s="33">
        <v>31.3</v>
      </c>
      <c r="T43" s="38">
        <v>4598</v>
      </c>
    </row>
    <row r="44" spans="1:20" s="32" customFormat="1" x14ac:dyDescent="0.2">
      <c r="A44" s="32" t="s">
        <v>94</v>
      </c>
      <c r="B44" s="32">
        <v>49</v>
      </c>
      <c r="C44" s="32" t="s">
        <v>117</v>
      </c>
      <c r="D44" s="32" t="s">
        <v>118</v>
      </c>
      <c r="E44" s="33">
        <v>0.99099999999999999</v>
      </c>
      <c r="F44" s="33">
        <v>22.774000000000001</v>
      </c>
      <c r="G44" s="33">
        <v>0.23449799999999996</v>
      </c>
      <c r="H44" s="33">
        <v>0.52495199999999997</v>
      </c>
      <c r="I44" s="33">
        <v>56.489399999999996</v>
      </c>
      <c r="J44" s="33">
        <v>15.130799999999999</v>
      </c>
      <c r="K44" s="33">
        <v>9.4707000000000008</v>
      </c>
      <c r="L44" s="33">
        <v>23.1</v>
      </c>
      <c r="M44" s="33">
        <v>67.3</v>
      </c>
      <c r="N44" s="33">
        <v>7.13</v>
      </c>
      <c r="O44" s="33">
        <v>2.25</v>
      </c>
      <c r="P44" s="33">
        <v>7.74</v>
      </c>
      <c r="Q44" s="33">
        <v>9.6199999999999992</v>
      </c>
      <c r="R44" s="33">
        <v>55.9</v>
      </c>
      <c r="S44" s="33">
        <v>26.7</v>
      </c>
      <c r="T44" s="38">
        <v>694</v>
      </c>
    </row>
    <row r="45" spans="1:20" s="32" customFormat="1" x14ac:dyDescent="0.2">
      <c r="A45" s="32" t="s">
        <v>94</v>
      </c>
      <c r="B45" s="32">
        <v>49</v>
      </c>
      <c r="C45" s="32" t="s">
        <v>120</v>
      </c>
      <c r="D45" s="32" t="s">
        <v>118</v>
      </c>
      <c r="E45" s="33">
        <v>2.9700000000000001E-2</v>
      </c>
      <c r="F45" s="33">
        <v>12.172800000000001</v>
      </c>
      <c r="G45" s="33">
        <v>1.6320000000000001E-2</v>
      </c>
      <c r="H45" s="33">
        <v>0.27991199999999999</v>
      </c>
      <c r="I45" s="33">
        <v>76.269599999999997</v>
      </c>
      <c r="J45" s="33">
        <v>3.3346800000000001</v>
      </c>
      <c r="K45" s="33">
        <v>4.9888799999999991</v>
      </c>
      <c r="L45" s="33">
        <v>5.19</v>
      </c>
      <c r="M45" s="33">
        <v>75.5</v>
      </c>
      <c r="N45" s="33">
        <v>15.9</v>
      </c>
      <c r="O45" s="33">
        <v>7.28</v>
      </c>
      <c r="P45" s="33">
        <v>9.4</v>
      </c>
      <c r="Q45" s="33">
        <v>12.5</v>
      </c>
      <c r="R45" s="33">
        <v>60.9</v>
      </c>
      <c r="S45" s="33">
        <v>17.2</v>
      </c>
      <c r="T45" s="38">
        <v>1302</v>
      </c>
    </row>
    <row r="46" spans="1:20" s="32" customFormat="1" x14ac:dyDescent="0.2">
      <c r="A46" s="32" t="s">
        <v>62</v>
      </c>
      <c r="B46" s="32">
        <v>64</v>
      </c>
      <c r="C46" s="32" t="s">
        <v>117</v>
      </c>
      <c r="D46" s="32" t="s">
        <v>118</v>
      </c>
      <c r="E46" s="33">
        <v>11.1</v>
      </c>
      <c r="F46" s="33">
        <v>59.008500000000005</v>
      </c>
      <c r="G46" s="33">
        <v>0.43038899999999997</v>
      </c>
      <c r="H46" s="33">
        <v>0.40473999999999999</v>
      </c>
      <c r="I46" s="33">
        <v>45.178000000000004</v>
      </c>
      <c r="J46" s="33">
        <v>29.215200000000003</v>
      </c>
      <c r="K46" s="33">
        <v>8.5063999999999993</v>
      </c>
      <c r="L46" s="33">
        <v>33.5</v>
      </c>
      <c r="M46" s="33">
        <v>55.3</v>
      </c>
      <c r="N46" s="33">
        <v>8.49</v>
      </c>
      <c r="O46" s="33">
        <v>7.55</v>
      </c>
      <c r="P46" s="33">
        <v>9.81</v>
      </c>
      <c r="Q46" s="33">
        <v>7.66</v>
      </c>
      <c r="R46" s="33">
        <v>38.6</v>
      </c>
      <c r="S46" s="33">
        <v>43.9</v>
      </c>
      <c r="T46" s="38">
        <v>1488</v>
      </c>
    </row>
    <row r="47" spans="1:20" s="32" customFormat="1" x14ac:dyDescent="0.2">
      <c r="A47" s="32" t="s">
        <v>95</v>
      </c>
      <c r="B47" s="32">
        <v>58</v>
      </c>
      <c r="C47" s="32" t="s">
        <v>117</v>
      </c>
      <c r="D47" s="32" t="s">
        <v>118</v>
      </c>
      <c r="E47" s="33">
        <v>0.29599999999999999</v>
      </c>
      <c r="F47" s="33">
        <v>62.622199999999992</v>
      </c>
      <c r="G47" s="33">
        <v>4.6854000000000007E-2</v>
      </c>
      <c r="H47" s="33">
        <v>0.53532500000000005</v>
      </c>
      <c r="I47" s="33">
        <v>55.085000000000001</v>
      </c>
      <c r="J47" s="33">
        <v>22.527199999999997</v>
      </c>
      <c r="K47" s="33">
        <v>6.9454000000000011</v>
      </c>
      <c r="L47" s="33">
        <v>62.4</v>
      </c>
      <c r="M47" s="33">
        <v>35.5</v>
      </c>
      <c r="N47" s="33">
        <v>1.17</v>
      </c>
      <c r="O47" s="33">
        <v>4.37</v>
      </c>
      <c r="P47" s="33">
        <v>6.55</v>
      </c>
      <c r="Q47" s="33">
        <v>11.4</v>
      </c>
      <c r="R47" s="33">
        <v>50.6</v>
      </c>
      <c r="S47" s="33">
        <v>31.4</v>
      </c>
      <c r="T47" s="38">
        <v>1673</v>
      </c>
    </row>
    <row r="48" spans="1:20" s="32" customFormat="1" x14ac:dyDescent="0.2">
      <c r="A48" s="32" t="s">
        <v>95</v>
      </c>
      <c r="B48" s="32">
        <v>58</v>
      </c>
      <c r="C48" s="32" t="s">
        <v>120</v>
      </c>
      <c r="D48" s="32" t="s">
        <v>118</v>
      </c>
      <c r="E48" s="33">
        <v>2.33</v>
      </c>
      <c r="F48" s="33">
        <v>6.3515999999999995</v>
      </c>
      <c r="G48" s="33">
        <v>0.37316000000000005</v>
      </c>
      <c r="H48" s="33">
        <v>7.1711999999999998</v>
      </c>
      <c r="I48" s="33">
        <v>63.577999999999996</v>
      </c>
      <c r="J48" s="33">
        <v>6.6580999999999992</v>
      </c>
      <c r="K48" s="33">
        <v>1.5504100000000001</v>
      </c>
      <c r="L48" s="33">
        <v>20.3</v>
      </c>
      <c r="M48" s="33">
        <v>70.900000000000006</v>
      </c>
      <c r="N48" s="33">
        <v>7.59</v>
      </c>
      <c r="O48" s="33">
        <v>2.5299999999999998</v>
      </c>
      <c r="P48" s="33">
        <v>17.7</v>
      </c>
      <c r="Q48" s="33">
        <v>17.7</v>
      </c>
      <c r="R48" s="33">
        <v>53.2</v>
      </c>
      <c r="S48" s="33">
        <v>11.4</v>
      </c>
      <c r="T48" s="38">
        <v>1062</v>
      </c>
    </row>
    <row r="49" spans="1:20" s="32" customFormat="1" x14ac:dyDescent="0.2">
      <c r="A49" s="32" t="s">
        <v>96</v>
      </c>
      <c r="B49" s="32">
        <v>78</v>
      </c>
      <c r="C49" s="32" t="s">
        <v>120</v>
      </c>
      <c r="D49" s="32" t="s">
        <v>118</v>
      </c>
      <c r="E49" s="33">
        <v>0.221</v>
      </c>
      <c r="F49" s="33">
        <v>4.5252599999999994</v>
      </c>
      <c r="G49" s="33">
        <v>0.20588200000000001</v>
      </c>
      <c r="H49" s="33">
        <v>0.69159999999999999</v>
      </c>
      <c r="I49" s="33">
        <v>47.946499999999993</v>
      </c>
      <c r="J49" s="33">
        <v>9.9041999999999977</v>
      </c>
      <c r="K49" s="33">
        <v>8.5903999999999989</v>
      </c>
      <c r="L49" s="33">
        <v>8.7799999999999994</v>
      </c>
      <c r="M49" s="33">
        <v>47</v>
      </c>
      <c r="N49" s="33">
        <v>37.1</v>
      </c>
      <c r="O49" s="33">
        <v>1.25</v>
      </c>
      <c r="P49" s="33">
        <v>55.6</v>
      </c>
      <c r="Q49" s="33">
        <v>26.7</v>
      </c>
      <c r="R49" s="33">
        <v>11.9</v>
      </c>
      <c r="S49" s="33">
        <v>5.8</v>
      </c>
      <c r="T49" s="38">
        <v>2138</v>
      </c>
    </row>
    <row r="50" spans="1:20" s="32" customFormat="1" x14ac:dyDescent="0.2">
      <c r="A50" s="32" t="s">
        <v>96</v>
      </c>
      <c r="B50" s="32">
        <v>78</v>
      </c>
      <c r="C50" s="32" t="s">
        <v>117</v>
      </c>
      <c r="D50" s="32" t="s">
        <v>118</v>
      </c>
      <c r="E50" s="33">
        <v>0.58399999999999996</v>
      </c>
      <c r="F50" s="33">
        <v>23.931600000000003</v>
      </c>
      <c r="G50" s="33">
        <v>2.3232000000000004</v>
      </c>
      <c r="H50" s="33">
        <v>0.17094000000000001</v>
      </c>
      <c r="I50" s="33">
        <v>12.4894</v>
      </c>
      <c r="J50" s="33">
        <v>39.520000000000003</v>
      </c>
      <c r="K50" s="33">
        <v>15.72</v>
      </c>
      <c r="L50" s="33">
        <v>37.5</v>
      </c>
      <c r="M50" s="33">
        <v>52.8</v>
      </c>
      <c r="N50" s="33">
        <v>6.03</v>
      </c>
      <c r="O50" s="33">
        <v>4.3899999999999997</v>
      </c>
      <c r="P50" s="33">
        <v>52.7</v>
      </c>
      <c r="Q50" s="33">
        <v>29.6</v>
      </c>
      <c r="R50" s="33">
        <v>6.85</v>
      </c>
      <c r="S50" s="33">
        <v>10.9</v>
      </c>
      <c r="T50" s="38">
        <v>1448</v>
      </c>
    </row>
    <row r="51" spans="1:20" s="32" customFormat="1" x14ac:dyDescent="0.2">
      <c r="A51" s="32" t="s">
        <v>98</v>
      </c>
      <c r="B51" s="32">
        <v>72</v>
      </c>
      <c r="C51" s="32" t="s">
        <v>120</v>
      </c>
      <c r="D51" s="32" t="s">
        <v>118</v>
      </c>
      <c r="E51" s="33">
        <v>1.01</v>
      </c>
      <c r="F51" s="33">
        <v>13.545299999999999</v>
      </c>
      <c r="G51" s="33">
        <v>4.9584999999999997E-2</v>
      </c>
      <c r="H51" s="33">
        <v>3.6376400000000002</v>
      </c>
      <c r="I51" s="33">
        <v>72.752800000000008</v>
      </c>
      <c r="J51" s="33">
        <v>2.6771999999999996</v>
      </c>
      <c r="K51" s="33">
        <v>5.2416</v>
      </c>
      <c r="L51" s="33">
        <v>17.899999999999999</v>
      </c>
      <c r="M51" s="33">
        <v>58.6</v>
      </c>
      <c r="N51" s="33">
        <v>18.899999999999999</v>
      </c>
      <c r="O51" s="33">
        <v>8.9</v>
      </c>
      <c r="P51" s="33">
        <v>12.3</v>
      </c>
      <c r="Q51" s="33">
        <v>14.7</v>
      </c>
      <c r="R51" s="33">
        <v>52.9</v>
      </c>
      <c r="S51" s="33">
        <v>20.2</v>
      </c>
      <c r="T51" s="38">
        <v>2321</v>
      </c>
    </row>
    <row r="52" spans="1:20" s="32" customFormat="1" x14ac:dyDescent="0.2">
      <c r="A52" s="34" t="s">
        <v>98</v>
      </c>
      <c r="B52" s="34">
        <v>72</v>
      </c>
      <c r="C52" s="34" t="s">
        <v>117</v>
      </c>
      <c r="D52" s="34" t="s">
        <v>118</v>
      </c>
      <c r="E52" s="35">
        <v>1.1200000000000001</v>
      </c>
      <c r="F52" s="35">
        <v>43.058999999999997</v>
      </c>
      <c r="G52" s="35">
        <v>3.9516799999999998E-2</v>
      </c>
      <c r="H52" s="35">
        <v>1.0058</v>
      </c>
      <c r="I52" s="35">
        <v>49.755000000000003</v>
      </c>
      <c r="J52" s="35">
        <v>7.0020399999999992</v>
      </c>
      <c r="K52" s="35">
        <v>21.6952</v>
      </c>
      <c r="L52" s="35">
        <v>50</v>
      </c>
      <c r="M52" s="35">
        <v>47.3</v>
      </c>
      <c r="N52" s="35">
        <v>1.76</v>
      </c>
      <c r="O52" s="35">
        <v>2.17</v>
      </c>
      <c r="P52" s="35">
        <v>1.92</v>
      </c>
      <c r="Q52" s="35">
        <v>3.4</v>
      </c>
      <c r="R52" s="35">
        <v>66.400000000000006</v>
      </c>
      <c r="S52" s="35">
        <v>28.3</v>
      </c>
      <c r="T52" s="37">
        <v>1838</v>
      </c>
    </row>
    <row r="53" spans="1:20" s="32" customFormat="1" x14ac:dyDescent="0.2"/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A-Donors</vt:lpstr>
      <vt:lpstr>B-B cell pop frequencies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Chappert</dc:creator>
  <cp:lastModifiedBy>Microsoft Office User</cp:lastModifiedBy>
  <dcterms:created xsi:type="dcterms:W3CDTF">2021-04-26T09:42:26Z</dcterms:created>
  <dcterms:modified xsi:type="dcterms:W3CDTF">2022-06-21T20:25:06Z</dcterms:modified>
</cp:coreProperties>
</file>